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819" firstSheet="1" activeTab="1"/>
  </bookViews>
  <sheets>
    <sheet name="预算调整封面" sheetId="1" r:id="rId1"/>
    <sheet name="公共财政预算收入（附表1ok)" sheetId="2" r:id="rId2"/>
    <sheet name="公共财政预算支出计划调整表（附表2）" sheetId="3" r:id="rId3"/>
    <sheet name="公共财政项目调整表（附表3） （认）" sheetId="4" r:id="rId4"/>
    <sheet name="财力性补助收入（附件4） (最终版)" sheetId="5" r:id="rId5"/>
    <sheet name="盘活2017年部分教育基础设施项目情况表（附件9）" sheetId="6" r:id="rId6"/>
  </sheets>
  <definedNames>
    <definedName name="_xlnm.Print_Titles" localSheetId="3">'公共财政项目调整表（附表3） （认）'!$2:$6</definedName>
    <definedName name="_xlnm.Print_Titles" localSheetId="1">'公共财政预算收入（附表1ok)'!$2:$5</definedName>
    <definedName name="_xlnm.Print_Titles" localSheetId="2">'公共财政预算支出计划调整表（附表2）'!$2:$6</definedName>
    <definedName name="_xlnm._FilterDatabase" localSheetId="2" hidden="1">'公共财政预算支出计划调整表（附表2）'!$A$6:$T$449</definedName>
    <definedName name="_xlnm._FilterDatabase" localSheetId="3" hidden="1">'公共财政项目调整表（附表3） （认）'!$A$6:$L$104</definedName>
  </definedNames>
  <calcPr fullCalcOnLoad="1"/>
</workbook>
</file>

<file path=xl/comments2.xml><?xml version="1.0" encoding="utf-8"?>
<comments xmlns="http://schemas.openxmlformats.org/spreadsheetml/2006/main">
  <authors>
    <author>作者</author>
  </authors>
  <commentList>
    <comment ref="C47" authorId="0">
      <text>
        <r>
          <rPr>
            <b/>
            <sz val="9"/>
            <rFont val="宋体"/>
            <family val="0"/>
          </rPr>
          <t>作者:</t>
        </r>
        <r>
          <rPr>
            <sz val="9"/>
            <rFont val="宋体"/>
            <family val="0"/>
          </rPr>
          <t xml:space="preserve">
加上解调减净结余增加</t>
        </r>
        <r>
          <rPr>
            <sz val="9"/>
            <rFont val="Tahoma"/>
            <family val="2"/>
          </rPr>
          <t>628</t>
        </r>
        <r>
          <rPr>
            <sz val="9"/>
            <rFont val="宋体"/>
            <family val="0"/>
          </rPr>
          <t xml:space="preserve">万元调稳定调节资金
</t>
        </r>
      </text>
    </comment>
    <comment ref="B47" authorId="0">
      <text>
        <r>
          <rPr>
            <b/>
            <sz val="9"/>
            <rFont val="宋体"/>
            <family val="0"/>
          </rPr>
          <t>作者:</t>
        </r>
        <r>
          <rPr>
            <sz val="9"/>
            <rFont val="宋体"/>
            <family val="0"/>
          </rPr>
          <t xml:space="preserve">
加上解调减净结余增加</t>
        </r>
        <r>
          <rPr>
            <sz val="9"/>
            <rFont val="Tahoma"/>
            <family val="2"/>
          </rPr>
          <t>628</t>
        </r>
        <r>
          <rPr>
            <sz val="9"/>
            <rFont val="宋体"/>
            <family val="0"/>
          </rPr>
          <t xml:space="preserve">万元调稳定调节资金
</t>
        </r>
      </text>
    </comment>
  </commentList>
</comments>
</file>

<file path=xl/comments5.xml><?xml version="1.0" encoding="utf-8"?>
<comments xmlns="http://schemas.openxmlformats.org/spreadsheetml/2006/main">
  <authors>
    <author>作者</author>
  </authors>
  <commentList>
    <comment ref="AM10" authorId="0">
      <text>
        <r>
          <rPr>
            <b/>
            <sz val="9"/>
            <rFont val="宋体"/>
            <family val="0"/>
          </rPr>
          <t xml:space="preserve">作者:
</t>
        </r>
      </text>
    </comment>
    <comment ref="C11" authorId="0">
      <text>
        <r>
          <rPr>
            <b/>
            <sz val="9"/>
            <rFont val="Tahoma"/>
            <family val="2"/>
          </rPr>
          <t>作者:</t>
        </r>
        <r>
          <rPr>
            <sz val="9"/>
            <rFont val="Tahoma"/>
            <family val="2"/>
          </rPr>
          <t xml:space="preserve">
1258+726.56
</t>
        </r>
      </text>
    </comment>
    <comment ref="B13" authorId="0">
      <text>
        <r>
          <rPr>
            <b/>
            <sz val="9"/>
            <rFont val="Tahoma"/>
            <family val="2"/>
          </rPr>
          <t>作者:</t>
        </r>
        <r>
          <rPr>
            <sz val="9"/>
            <rFont val="Tahoma"/>
            <family val="2"/>
          </rPr>
          <t xml:space="preserve">
3144</t>
        </r>
        <r>
          <rPr>
            <sz val="9"/>
            <rFont val="宋体"/>
            <family val="0"/>
          </rPr>
          <t>中的</t>
        </r>
      </text>
    </comment>
    <comment ref="AO14" authorId="0">
      <text>
        <r>
          <rPr>
            <b/>
            <sz val="9"/>
            <rFont val="宋体"/>
            <family val="0"/>
          </rPr>
          <t>作者:</t>
        </r>
        <r>
          <rPr>
            <sz val="9"/>
            <rFont val="宋体"/>
            <family val="0"/>
          </rPr>
          <t xml:space="preserve">
出口退税</t>
        </r>
        <r>
          <rPr>
            <sz val="9"/>
            <rFont val="Tahoma"/>
            <family val="2"/>
          </rPr>
          <t xml:space="preserve">1039
</t>
        </r>
      </text>
    </comment>
    <comment ref="B16" authorId="0">
      <text>
        <r>
          <rPr>
            <b/>
            <sz val="9"/>
            <rFont val="Tahoma"/>
            <family val="2"/>
          </rPr>
          <t>作者:</t>
        </r>
        <r>
          <rPr>
            <sz val="9"/>
            <rFont val="Tahoma"/>
            <family val="2"/>
          </rPr>
          <t xml:space="preserve">
3144
</t>
        </r>
      </text>
    </comment>
    <comment ref="B17" authorId="0">
      <text>
        <r>
          <rPr>
            <b/>
            <sz val="9"/>
            <rFont val="Tahoma"/>
            <family val="2"/>
          </rPr>
          <t>作者:</t>
        </r>
        <r>
          <rPr>
            <sz val="9"/>
            <rFont val="Tahoma"/>
            <family val="2"/>
          </rPr>
          <t xml:space="preserve">
510 3144</t>
        </r>
        <r>
          <rPr>
            <sz val="9"/>
            <rFont val="宋体"/>
            <family val="0"/>
          </rPr>
          <t>中的</t>
        </r>
      </text>
    </comment>
    <comment ref="AO18" authorId="0">
      <text>
        <r>
          <rPr>
            <b/>
            <sz val="9"/>
            <rFont val="宋体"/>
            <family val="0"/>
          </rPr>
          <t>作者:</t>
        </r>
        <r>
          <rPr>
            <sz val="9"/>
            <rFont val="宋体"/>
            <family val="0"/>
          </rPr>
          <t xml:space="preserve">
债券利息和发行费用</t>
        </r>
      </text>
    </comment>
    <comment ref="B20" authorId="0">
      <text>
        <r>
          <rPr>
            <b/>
            <sz val="9"/>
            <rFont val="Tahoma"/>
            <family val="2"/>
          </rPr>
          <t>作者:</t>
        </r>
        <r>
          <rPr>
            <sz val="9"/>
            <rFont val="Tahoma"/>
            <family val="2"/>
          </rPr>
          <t xml:space="preserve">
588</t>
        </r>
      </text>
    </comment>
    <comment ref="AO20" authorId="0">
      <text>
        <r>
          <rPr>
            <b/>
            <sz val="9"/>
            <rFont val="宋体"/>
            <family val="0"/>
          </rPr>
          <t>作者:</t>
        </r>
        <r>
          <rPr>
            <sz val="9"/>
            <rFont val="宋体"/>
            <family val="0"/>
          </rPr>
          <t xml:space="preserve">
债券利息和发行费用</t>
        </r>
      </text>
    </comment>
  </commentList>
</comments>
</file>

<file path=xl/sharedStrings.xml><?xml version="1.0" encoding="utf-8"?>
<sst xmlns="http://schemas.openxmlformats.org/spreadsheetml/2006/main" count="1480" uniqueCount="873">
  <si>
    <t>[内部资料 妥善保管]</t>
  </si>
  <si>
    <r>
      <t>汕头市濠江区</t>
    </r>
    <r>
      <rPr>
        <b/>
        <sz val="28"/>
        <rFont val="Times New Roman"/>
        <family val="1"/>
      </rPr>
      <t>2018</t>
    </r>
    <r>
      <rPr>
        <b/>
        <sz val="28"/>
        <rFont val="宋体"/>
        <family val="0"/>
      </rPr>
      <t>年政府预算调整草案</t>
    </r>
  </si>
  <si>
    <t>编制部门：</t>
  </si>
  <si>
    <t>汕头市濠江区财政局</t>
  </si>
  <si>
    <t>编制时间：</t>
  </si>
  <si>
    <t>附表1</t>
  </si>
  <si>
    <t>汕头市濠江区2018年公共财政预算收入计划调整表</t>
  </si>
  <si>
    <t>单位：万元</t>
  </si>
  <si>
    <t>项目</t>
  </si>
  <si>
    <t>2018年计划数</t>
  </si>
  <si>
    <t>变动</t>
  </si>
  <si>
    <t>调整后计划</t>
  </si>
  <si>
    <t>比增%</t>
  </si>
  <si>
    <t>备注</t>
  </si>
  <si>
    <t>总库</t>
  </si>
  <si>
    <t>本级</t>
  </si>
  <si>
    <t>一.税收收入</t>
  </si>
  <si>
    <t xml:space="preserve">   1.增值税</t>
  </si>
  <si>
    <t xml:space="preserve">   2.改征增值税</t>
  </si>
  <si>
    <t xml:space="preserve">   3.消费税</t>
  </si>
  <si>
    <t xml:space="preserve">   4.营业税</t>
  </si>
  <si>
    <t xml:space="preserve">   5.企业所得税</t>
  </si>
  <si>
    <t xml:space="preserve">   4.企业所得税（国税）</t>
  </si>
  <si>
    <t xml:space="preserve">   5.企业所得税（地税）</t>
  </si>
  <si>
    <t xml:space="preserve">   6.企业所得税退税</t>
  </si>
  <si>
    <t xml:space="preserve">   7.个人所得税（国税）</t>
  </si>
  <si>
    <t xml:space="preserve">   8.个人所得税（地税）</t>
  </si>
  <si>
    <t xml:space="preserve">   9.资源税</t>
  </si>
  <si>
    <t xml:space="preserve">   10.城市维护建设税</t>
  </si>
  <si>
    <t xml:space="preserve">   11.房产税</t>
  </si>
  <si>
    <t xml:space="preserve">   12.印花税</t>
  </si>
  <si>
    <t xml:space="preserve">   13.城镇土地使用税</t>
  </si>
  <si>
    <t xml:space="preserve">   14.土地增值税</t>
  </si>
  <si>
    <t xml:space="preserve">   15.车船税</t>
  </si>
  <si>
    <t xml:space="preserve">   16.耕地占用税</t>
  </si>
  <si>
    <t xml:space="preserve">   17.契税</t>
  </si>
  <si>
    <t xml:space="preserve">   18.其他税收收入</t>
  </si>
  <si>
    <t>二.非税收入</t>
  </si>
  <si>
    <t xml:space="preserve">   1.教育费附加收入（地税）</t>
  </si>
  <si>
    <t xml:space="preserve">   2.水资源费、排污费收入</t>
  </si>
  <si>
    <t xml:space="preserve">   3.地方教育附加收入</t>
  </si>
  <si>
    <t xml:space="preserve">   4.农田水利建设</t>
  </si>
  <si>
    <t xml:space="preserve">   5.教育资金</t>
  </si>
  <si>
    <t xml:space="preserve">   6.矿产资源补偿费</t>
  </si>
  <si>
    <t xml:space="preserve">   7.船舶港务费</t>
  </si>
  <si>
    <t xml:space="preserve">   8.行政事业性收费收入</t>
  </si>
  <si>
    <t xml:space="preserve">   9.罚没收入</t>
  </si>
  <si>
    <t xml:space="preserve">   10.国有资产经营收入</t>
  </si>
  <si>
    <t xml:space="preserve">   11.国有资源(资产)有偿使用收入</t>
  </si>
  <si>
    <t xml:space="preserve">   12.其他收入</t>
  </si>
  <si>
    <t xml:space="preserve">   13.税务部门非税收入</t>
  </si>
  <si>
    <t>征收收入小计</t>
  </si>
  <si>
    <t>三.转移性收入</t>
  </si>
  <si>
    <t xml:space="preserve">   1.上级财力性补助收入</t>
  </si>
  <si>
    <t xml:space="preserve">   2.上级专项性补助收入</t>
  </si>
  <si>
    <t xml:space="preserve">   3、上级债券转贷收入</t>
  </si>
  <si>
    <t xml:space="preserve">   4.上年结余收入</t>
  </si>
  <si>
    <t>年初预算草案编制后上级收回2016年及2017年指标</t>
  </si>
  <si>
    <t xml:space="preserve">   5.预算稳定调节基金</t>
  </si>
  <si>
    <t xml:space="preserve">   6.调入资金</t>
  </si>
  <si>
    <t>调减政府性基金收入调入资金</t>
  </si>
  <si>
    <t>财力合计</t>
  </si>
  <si>
    <t>附表2</t>
  </si>
  <si>
    <t>汕头市濠江区2018年公共财政预算支出计划调整表</t>
  </si>
  <si>
    <t>功能分类科目</t>
  </si>
  <si>
    <t>2018年初计划</t>
  </si>
  <si>
    <t>变动因素</t>
  </si>
  <si>
    <t>2018年调整计划</t>
  </si>
  <si>
    <t>计划
比增
%</t>
  </si>
  <si>
    <t>预测本级支出</t>
  </si>
  <si>
    <t>预测上级支出</t>
  </si>
  <si>
    <t>预测全年支出</t>
  </si>
  <si>
    <t>本级支出</t>
  </si>
  <si>
    <t>上级支出</t>
  </si>
  <si>
    <t>合计</t>
  </si>
  <si>
    <t>小计</t>
  </si>
  <si>
    <t>1-7月已下达金额</t>
  </si>
  <si>
    <t>8-12月支出预测</t>
  </si>
  <si>
    <t>代码</t>
  </si>
  <si>
    <t>名称</t>
  </si>
  <si>
    <t>政策性调整</t>
  </si>
  <si>
    <t>其他调整</t>
  </si>
  <si>
    <t>上级资金收回</t>
  </si>
  <si>
    <t>同类及跨类调剂</t>
  </si>
  <si>
    <t>上级专项性补助</t>
  </si>
  <si>
    <t>一般公共服务支出</t>
  </si>
  <si>
    <t>人大事务</t>
  </si>
  <si>
    <t>行政运行</t>
  </si>
  <si>
    <t>科目调剂绩效考核奖金、岗位责任奖、休假补贴等</t>
  </si>
  <si>
    <t>一般行政管理事务</t>
  </si>
  <si>
    <t>人大会议</t>
  </si>
  <si>
    <t>人大监督</t>
  </si>
  <si>
    <t>人大代表履职能力提升</t>
  </si>
  <si>
    <t>代表工作</t>
  </si>
  <si>
    <t>科目调剂-区人大代表活动经费</t>
  </si>
  <si>
    <t>其他人大事务支出</t>
  </si>
  <si>
    <t>政协事务</t>
  </si>
  <si>
    <t>科目调剂及调增绩效考核奖金、岗位责任奖、休假补贴等</t>
  </si>
  <si>
    <t>政协会议</t>
  </si>
  <si>
    <t>委员视察</t>
  </si>
  <si>
    <t>参政议政</t>
  </si>
  <si>
    <t>其他政协事务支出</t>
  </si>
  <si>
    <t>政府办公厅（室）及相关机构事务</t>
  </si>
  <si>
    <t>科目调剂绩效考核奖金、岗位责任奖、休假补贴等；调减人员经费</t>
  </si>
  <si>
    <t>其他政府办公厅（室）及相关机构事务支出</t>
  </si>
  <si>
    <t>汕濠府办财函〔2018〕60号调增区委大院后勤物业服务社会化购买费用；科目调剂-区政府大院1号楼五楼1号会议室及七楼会议中心视频音响会议系统设备购置经费；科目调剂绩效考核奖金、岗位责任奖、休假补贴等；调减人员经费</t>
  </si>
  <si>
    <t>发展与改革事务</t>
  </si>
  <si>
    <t>科目调剂及调增-绩效考核奖金、岗位责任奖、休假补贴等</t>
  </si>
  <si>
    <t>调增濠江区“十三五”规划实施中期评估经费</t>
  </si>
  <si>
    <t>战略规划与实施</t>
  </si>
  <si>
    <t>其他发展与改革事务支出</t>
  </si>
  <si>
    <t>科目调剂-发规局经济发展目标工作经费补助</t>
  </si>
  <si>
    <t>统计信息事务</t>
  </si>
  <si>
    <t>专项普查活动</t>
  </si>
  <si>
    <t>统计抽样调查</t>
  </si>
  <si>
    <t>财政事务</t>
  </si>
  <si>
    <t>预算改革业务</t>
  </si>
  <si>
    <t>财政国库业务</t>
  </si>
  <si>
    <t>信息化建设</t>
  </si>
  <si>
    <t>调增财政信息系统建设和维护经费</t>
  </si>
  <si>
    <t>其他财政事务支出</t>
  </si>
  <si>
    <t>汕濠府办财函【2018】134号，调增公务用车购置经费</t>
  </si>
  <si>
    <t>税收事务</t>
  </si>
  <si>
    <t>其他税收事务支出</t>
  </si>
  <si>
    <t>调增征管经费</t>
  </si>
  <si>
    <t>审计事务</t>
  </si>
  <si>
    <t>调增人员经费；科目调剂绩效考核奖金、岗位责任奖、休假补贴等</t>
  </si>
  <si>
    <t>审计业务</t>
  </si>
  <si>
    <t>事业运行</t>
  </si>
  <si>
    <t>其他审计事务支出</t>
  </si>
  <si>
    <t>人力资源事务</t>
  </si>
  <si>
    <t>军队转业干部安置</t>
  </si>
  <si>
    <t>根据《印发关于调整市直部分困难企业军转干部生活困难补助标准的意见的通知》（汕府办〔2015〕7号）提标</t>
  </si>
  <si>
    <t>纪检监察事务</t>
  </si>
  <si>
    <t>大案要案查处</t>
  </si>
  <si>
    <t>派驻派出机构</t>
  </si>
  <si>
    <t>其他纪检监察事务支出</t>
  </si>
  <si>
    <t>增加上级支出</t>
  </si>
  <si>
    <t>商贸事务</t>
  </si>
  <si>
    <t>其他商贸事务支出</t>
  </si>
  <si>
    <t>知识产权事务</t>
  </si>
  <si>
    <t>专利试点和产业化推进</t>
  </si>
  <si>
    <t>知识产权宏观管理</t>
  </si>
  <si>
    <t>其他知识产权事务支出</t>
  </si>
  <si>
    <t>工商行政管理事务</t>
  </si>
  <si>
    <t>工商行政管理专项</t>
  </si>
  <si>
    <t>执法办案专项</t>
  </si>
  <si>
    <t>其他工商行政管理事务支出</t>
  </si>
  <si>
    <t>质量技术监督与检验检疫事务</t>
  </si>
  <si>
    <t>质量技术监督行政执法及业务管理</t>
  </si>
  <si>
    <t>其他质量技术监督与检验检疫事务支出</t>
  </si>
  <si>
    <t>宗教事务</t>
  </si>
  <si>
    <t>宗教工作专项</t>
  </si>
  <si>
    <t>科目调剂-达濠万人墓环境整治工作经费</t>
  </si>
  <si>
    <t>港澳台侨事务</t>
  </si>
  <si>
    <t>港澳事务</t>
  </si>
  <si>
    <t>台湾事务</t>
  </si>
  <si>
    <t>华侨事务</t>
  </si>
  <si>
    <t>档案事务</t>
  </si>
  <si>
    <t>档案馆</t>
  </si>
  <si>
    <t>民主党派及工商联事务</t>
  </si>
  <si>
    <t>其他民主党派及工商联事务支出</t>
  </si>
  <si>
    <t>群众团体事务</t>
  </si>
  <si>
    <t>其他群众团体事务支出</t>
  </si>
  <si>
    <t>党委办公厅（室）及相关机构事务</t>
  </si>
  <si>
    <t>人员经费科目调剂</t>
  </si>
  <si>
    <t>其他党委办公厅（室）及相关机构事务支出</t>
  </si>
  <si>
    <t>基本养老金科目调剂</t>
  </si>
  <si>
    <t>组织事务</t>
  </si>
  <si>
    <t>其他组织事务支出</t>
  </si>
  <si>
    <t>调减开展驻点普遍直接联系群众工作经费</t>
  </si>
  <si>
    <t>宣传事务</t>
  </si>
  <si>
    <t>其他宣传事务支出</t>
  </si>
  <si>
    <t>统战事务</t>
  </si>
  <si>
    <t>其他统战事务支出</t>
  </si>
  <si>
    <t>其他共产党事务支出</t>
  </si>
  <si>
    <t>科目调剂区委政法委综治中心建设经费</t>
  </si>
  <si>
    <t>其他一般公共服务支出</t>
  </si>
  <si>
    <t>调增党政内网机房改造经费、行政大厅运转经费、网上信访信息系统“业务流程再造”升级改造项目建设经费和区在建工程项目机械检验检测专项经费等项目；科目调剂电子政务外网建设费用、电子政务外网建设费用、预留搬迁购置设备费等项目</t>
  </si>
  <si>
    <t>国防支出</t>
  </si>
  <si>
    <t>国防动员</t>
  </si>
  <si>
    <t>兵役征集</t>
  </si>
  <si>
    <t>人民防空</t>
  </si>
  <si>
    <t>增加非税支出</t>
  </si>
  <si>
    <t>民兵</t>
  </si>
  <si>
    <t>其他国防支出</t>
  </si>
  <si>
    <t>调增预定新兵役前教育训练经费；科目调剂绩效考核奖金、岗位责任奖、休假补贴等；调减人员经费</t>
  </si>
  <si>
    <t>公共安全支出</t>
  </si>
  <si>
    <t>武装警察</t>
  </si>
  <si>
    <t>边防</t>
  </si>
  <si>
    <t>消防</t>
  </si>
  <si>
    <t>科目调剂区消防大队正规化建设达标基本配套经费</t>
  </si>
  <si>
    <t>公安</t>
  </si>
  <si>
    <t>治安管理</t>
  </si>
  <si>
    <t>减少非税支出</t>
  </si>
  <si>
    <t>其他公安支出</t>
  </si>
  <si>
    <t>调增网警实战平台建设终端设备经费、国道324线红旗岭治安执勤点建设项目和交通秩序专项整治行动经费；调剂特勤队伍建设经费等项目科目</t>
  </si>
  <si>
    <t>检察</t>
  </si>
  <si>
    <t>其他检察支出</t>
  </si>
  <si>
    <t>法院</t>
  </si>
  <si>
    <t>其他法院支出</t>
  </si>
  <si>
    <t>司法</t>
  </si>
  <si>
    <t>基层司法业务</t>
  </si>
  <si>
    <t>普法宣传</t>
  </si>
  <si>
    <t>律师公证管理</t>
  </si>
  <si>
    <t>法律援助</t>
  </si>
  <si>
    <t>增加上级支出；科目调剂绩效考核奖金、岗位责任奖、休假补贴等</t>
  </si>
  <si>
    <t>社区矫正</t>
  </si>
  <si>
    <t>其他司法支出</t>
  </si>
  <si>
    <t>其他公共安全支出</t>
  </si>
  <si>
    <t>教育支出</t>
  </si>
  <si>
    <t>教育管理事务</t>
  </si>
  <si>
    <t>普通教育</t>
  </si>
  <si>
    <t>学前教育</t>
  </si>
  <si>
    <t>科目调剂绩效考核奖金、岗位责任奖、休假补贴等；调增学前教育生均公用经费及人员经费</t>
  </si>
  <si>
    <t>小学教育</t>
  </si>
  <si>
    <t>科目调剂及调增绩效考核奖金、岗位责任奖、休假补贴等；调减人员经费</t>
  </si>
  <si>
    <t>初中教育</t>
  </si>
  <si>
    <t>调增人员经费；调减玉新中学运动场改造；科目调剂绩效考核奖金、岗位责任奖、休假补贴等</t>
  </si>
  <si>
    <t>高中教育</t>
  </si>
  <si>
    <t>其他普通教育支出</t>
  </si>
  <si>
    <t>调减人事教师职称套改工资；调增2018年“1+8”教育综合改革工作经费、教育“创现”督导评估专项经费和学生体质健康测试器材；科目调剂增绩效考核奖金、岗位责任奖、休假补贴等</t>
  </si>
  <si>
    <t>职业教育</t>
  </si>
  <si>
    <t>中专教育</t>
  </si>
  <si>
    <t>调减区配套国家助学金；科目调剂增绩效考核奖金、岗位责任奖、休假补贴等</t>
  </si>
  <si>
    <t>其他职业教育支出</t>
  </si>
  <si>
    <t>特殊教育</t>
  </si>
  <si>
    <t>特殊学校教育</t>
  </si>
  <si>
    <t>调减2018年残疾学生公用经费(区级)</t>
  </si>
  <si>
    <t>进修及培训</t>
  </si>
  <si>
    <t>培训支出</t>
  </si>
  <si>
    <t>教育费附加安排的支出</t>
  </si>
  <si>
    <t>其他教育费附加安排的支出</t>
  </si>
  <si>
    <t>其他教育支出</t>
  </si>
  <si>
    <t>科学技术支出</t>
  </si>
  <si>
    <t>科学技术管理事务</t>
  </si>
  <si>
    <t>调剂及调增公用经费</t>
  </si>
  <si>
    <t>技术研究与开发</t>
  </si>
  <si>
    <t>产业技术研究与开发</t>
  </si>
  <si>
    <t>上级清算收回2016年省高新技术企业培育库入库企业奖补资金和2017年上级结转提前下达2017年省科技发展专项资金</t>
  </si>
  <si>
    <t>其他技术研究与开发支出</t>
  </si>
  <si>
    <t>上级调整2016年省级战略性新兴产业联银企业合作贴息资金科目；上级清算收回2017年省级工业和信息化发展</t>
  </si>
  <si>
    <t>社会科学</t>
  </si>
  <si>
    <t>社会科学研究</t>
  </si>
  <si>
    <t>科学技术普及</t>
  </si>
  <si>
    <t>科普活动</t>
  </si>
  <si>
    <t>其他科学技术普及支出</t>
  </si>
  <si>
    <t>其他科学技术支出</t>
  </si>
  <si>
    <t>科技奖励</t>
  </si>
  <si>
    <r>
      <t>增加上级支出；调减</t>
    </r>
    <r>
      <rPr>
        <sz val="12"/>
        <rFont val="宋体"/>
        <family val="0"/>
      </rPr>
      <t>高新技术企业认定奖励区级配套</t>
    </r>
  </si>
  <si>
    <t>文化体育与传媒支出</t>
  </si>
  <si>
    <t>文化</t>
  </si>
  <si>
    <t>图书馆</t>
  </si>
  <si>
    <t>群众文化</t>
  </si>
  <si>
    <t>文化市场管理</t>
  </si>
  <si>
    <t>其他文化支出</t>
  </si>
  <si>
    <t>文物</t>
  </si>
  <si>
    <t>文物保护</t>
  </si>
  <si>
    <t>体育</t>
  </si>
  <si>
    <t>群众体育</t>
  </si>
  <si>
    <t>其他文化体育与传媒支出</t>
  </si>
  <si>
    <t>调增开展文化体育系列活动经费和汕头市金山中学图书馆二楼阅览室装修资金；科目调剂创文项目</t>
  </si>
  <si>
    <t>社会保障和就业支出</t>
  </si>
  <si>
    <t>人力资源和社会保障管理事务</t>
  </si>
  <si>
    <t>科目调剂2018年我区各类专场招聘会补助经费等项目</t>
  </si>
  <si>
    <t>综合业务管理</t>
  </si>
  <si>
    <t>公共就业服务和职业技能鉴定机构</t>
  </si>
  <si>
    <t>其他人力资源和社会保障管理事务支出</t>
  </si>
  <si>
    <t>民政管理事务</t>
  </si>
  <si>
    <t>拥军优属</t>
  </si>
  <si>
    <t>老龄事务</t>
  </si>
  <si>
    <t>调增百岁老人保健金</t>
  </si>
  <si>
    <t>行政区划和地名管理</t>
  </si>
  <si>
    <t>调增地名普查成果转化</t>
  </si>
  <si>
    <t>基层政权和社区建设</t>
  </si>
  <si>
    <t>调增基层政权和社区建设经费和社会组织工作经费</t>
  </si>
  <si>
    <t>其他民政管理事务支出</t>
  </si>
  <si>
    <t>行政事业单位离退休</t>
  </si>
  <si>
    <t>事业单位离退休</t>
  </si>
  <si>
    <t>离退休人员管理机构</t>
  </si>
  <si>
    <t>未归口管理的行政单位离退休</t>
  </si>
  <si>
    <t>机关事业单位基本养老保险缴费支出</t>
  </si>
  <si>
    <t>科目调剂和调增基金养老保险</t>
  </si>
  <si>
    <t>对机关事业单位基本养老保险基金的补助</t>
  </si>
  <si>
    <t>科目调剂基金养老保险</t>
  </si>
  <si>
    <t>其他行政事业单位离退休支出</t>
  </si>
  <si>
    <t>就业补助</t>
  </si>
  <si>
    <t>就业创业服务补贴</t>
  </si>
  <si>
    <t>职业培训补贴</t>
  </si>
  <si>
    <t>社会保险补贴</t>
  </si>
  <si>
    <t>公益性岗位补贴</t>
  </si>
  <si>
    <t>科目调剂精准扶贫公益性岗位就业人员工资补助资金</t>
  </si>
  <si>
    <t>就业见习补贴</t>
  </si>
  <si>
    <t>其他就业补助支出</t>
  </si>
  <si>
    <t>科目调剂小额担保贷款贴息</t>
  </si>
  <si>
    <t>抚恤</t>
  </si>
  <si>
    <t>死亡抚恤</t>
  </si>
  <si>
    <t>调增预留各单位死亡丧葬费和抚恤金</t>
  </si>
  <si>
    <t>在乡复员、退伍军人生活补助</t>
  </si>
  <si>
    <t>义务兵优待</t>
  </si>
  <si>
    <t>农村籍退役士兵老年生活补助</t>
  </si>
  <si>
    <t>退役安置</t>
  </si>
  <si>
    <t>退役士兵安置</t>
  </si>
  <si>
    <t>军队移交政府的离退休人员安置</t>
  </si>
  <si>
    <t>军队移交政府离退休干部管理机构</t>
  </si>
  <si>
    <t>社会福利</t>
  </si>
  <si>
    <t>儿童福利</t>
  </si>
  <si>
    <t>老年福利</t>
  </si>
  <si>
    <t>调增高龄老人政府津贴</t>
  </si>
  <si>
    <t>殡葬</t>
  </si>
  <si>
    <t>调增殡葬惠民</t>
  </si>
  <si>
    <t>社会福利事业单位</t>
  </si>
  <si>
    <t>残疾人事业</t>
  </si>
  <si>
    <t>残疾人康复</t>
  </si>
  <si>
    <t>残疾人生活和护理补贴</t>
  </si>
  <si>
    <t>其他残疾人事业支出</t>
  </si>
  <si>
    <t>增加上级支出；科目调剂康复训练项目服务和社区康园运行区级补助经费等项目</t>
  </si>
  <si>
    <t>红十字事业</t>
  </si>
  <si>
    <t>其他红十字事业支出</t>
  </si>
  <si>
    <t>最低生活保障</t>
  </si>
  <si>
    <t>城市最低生活保障金支出</t>
  </si>
  <si>
    <t>农村最低生活保障金支出</t>
  </si>
  <si>
    <t>临时救助</t>
  </si>
  <si>
    <t>临时救助支出</t>
  </si>
  <si>
    <t>特困人员救助供养</t>
  </si>
  <si>
    <t>城市特困人员救助供养支出</t>
  </si>
  <si>
    <t>农村特困人员救助供养支出</t>
  </si>
  <si>
    <t>其他生活救助</t>
  </si>
  <si>
    <t>其他城市生活救助</t>
  </si>
  <si>
    <t>其他农村生活救助</t>
  </si>
  <si>
    <t>财政对基本养老保险基金的补助</t>
  </si>
  <si>
    <t>财政对城乡居民基本养老保险基金的补助</t>
  </si>
  <si>
    <t>调增城乡居民社会养老保险</t>
  </si>
  <si>
    <t>财政对其他基本养老保险基金的补助</t>
  </si>
  <si>
    <t>其他社会保障和就业支出</t>
  </si>
  <si>
    <t>调增预留工作性和政策性专项经费和“银龄安康”行动60周岁以上老人保险费；减少非税支出；科目调剂预留工作性和政策性专项经费</t>
  </si>
  <si>
    <t>医疗卫生与计划生育支出</t>
  </si>
  <si>
    <t>医疗卫生与计划生育管理事务</t>
  </si>
  <si>
    <t>其他医疗卫生与计划生育管理事务支出</t>
  </si>
  <si>
    <t>公立医院</t>
  </si>
  <si>
    <t>综合医院</t>
  </si>
  <si>
    <t>其他公立医院支出</t>
  </si>
  <si>
    <t>基层医疗卫生机构</t>
  </si>
  <si>
    <t>城市社区卫生机构</t>
  </si>
  <si>
    <t>乡镇卫生院</t>
  </si>
  <si>
    <t>其他基层医疗卫生机构支出</t>
  </si>
  <si>
    <t>公共卫生</t>
  </si>
  <si>
    <t>疾病预防控制机构</t>
  </si>
  <si>
    <t>增加非税支出；科目调剂绩效考核奖金、岗位责任奖、休假补贴等</t>
  </si>
  <si>
    <t>妇幼保健机构</t>
  </si>
  <si>
    <t>基本公共卫生服务</t>
  </si>
  <si>
    <t>重大公共卫生专项</t>
  </si>
  <si>
    <t>突发公共卫生事件应急处理</t>
  </si>
  <si>
    <t>其他公共卫生支出</t>
  </si>
  <si>
    <t>增加上级支出；科目调剂深化医改工作补充经费等项目</t>
  </si>
  <si>
    <t>中医药</t>
  </si>
  <si>
    <t>中医（民族医）药专项</t>
  </si>
  <si>
    <t>计划生育事务</t>
  </si>
  <si>
    <t>计划生育机构</t>
  </si>
  <si>
    <t>调增绩效考核奖金、岗位责任奖、休假补贴等</t>
  </si>
  <si>
    <t>计划生育服务</t>
  </si>
  <si>
    <t>其他计划生育事务支出</t>
  </si>
  <si>
    <t>增加上级支出；调减计生家庭商业保险；减少非税支出</t>
  </si>
  <si>
    <t>食品和药品监督管理事务</t>
  </si>
  <si>
    <t>食品安全事务</t>
  </si>
  <si>
    <t>其他食品和药品监督管理事务支出</t>
  </si>
  <si>
    <t>增加上级支出；增加非税支出；科目调剂2018年濠江区食品安全监督抽检和农贸市场食用农产品快检经费</t>
  </si>
  <si>
    <t>行政事业单位医疗</t>
  </si>
  <si>
    <t>其他行政事业单位医疗支出</t>
  </si>
  <si>
    <t>调增人员经费</t>
  </si>
  <si>
    <t>财政对基本医疗保险基金的补助</t>
  </si>
  <si>
    <t>财政对城乡居民基本医疗保险基金的补助</t>
  </si>
  <si>
    <t>调减上年负结转支出</t>
  </si>
  <si>
    <t>医疗救助</t>
  </si>
  <si>
    <t>城乡医疗救助</t>
  </si>
  <si>
    <t>调增城乡医疗救助</t>
  </si>
  <si>
    <t>其他医疗救助支出</t>
  </si>
  <si>
    <t>优抚对象医疗</t>
  </si>
  <si>
    <t>优抚对象医疗补助</t>
  </si>
  <si>
    <t>其他医疗卫生与计划生育支出</t>
  </si>
  <si>
    <t>调增2018年巩固发展国家卫生城市复审迎检工作经费和预留工作性和政策性专项经费</t>
  </si>
  <si>
    <t>节能环保支出</t>
  </si>
  <si>
    <t>环境保护管理事务</t>
  </si>
  <si>
    <t>其他环境保护管理事务支出</t>
  </si>
  <si>
    <t>环境监测与监察</t>
  </si>
  <si>
    <t>其他环境监测与监察支出</t>
  </si>
  <si>
    <t>污染防治</t>
  </si>
  <si>
    <t>水体</t>
  </si>
  <si>
    <t>其他污染防治支出</t>
  </si>
  <si>
    <t>其他节能环保支出</t>
  </si>
  <si>
    <t>城乡社区支出</t>
  </si>
  <si>
    <t>城乡社区管理事务</t>
  </si>
  <si>
    <t>城管执法</t>
  </si>
  <si>
    <t>工程建设管理</t>
  </si>
  <si>
    <t>其他城乡社区管理事务支出</t>
  </si>
  <si>
    <t>增加上级支出；调增火灾隐患重点地区整治专项经费和工作补充经费；减少非税支出；科目调剂绩效考核奖金、岗位责任奖、休假补贴等；调减人员经费</t>
  </si>
  <si>
    <t>城乡社区规划与管理</t>
  </si>
  <si>
    <t>城乡社区公共设施</t>
  </si>
  <si>
    <t>其他城乡社区公共设施支出</t>
  </si>
  <si>
    <t>调增达南路配套给水工程结算尾款</t>
  </si>
  <si>
    <t>城乡社区环境卫生</t>
  </si>
  <si>
    <t>调增公厕建设专项资金；减少非税支出；科目调剂绩效考核奖金、岗位责任奖、休假补贴等</t>
  </si>
  <si>
    <t>其他城乡社区支出</t>
  </si>
  <si>
    <t>调增双泉公园及涵闸管养维护费</t>
  </si>
  <si>
    <t>农林水支出</t>
  </si>
  <si>
    <t>农业</t>
  </si>
  <si>
    <t>科技转化与推广服务</t>
  </si>
  <si>
    <t>病虫害控制</t>
  </si>
  <si>
    <t>减少上级支出</t>
  </si>
  <si>
    <t>农产品质量安全</t>
  </si>
  <si>
    <t>执法监管</t>
  </si>
  <si>
    <t>调减100吨执法船油料费及维护</t>
  </si>
  <si>
    <t>统计监测与信息服务</t>
  </si>
  <si>
    <t>农业行业业务管理</t>
  </si>
  <si>
    <t>防灾救灾</t>
  </si>
  <si>
    <t>科目调剂农业防灾减灾经费</t>
  </si>
  <si>
    <t>农业生产支持补贴</t>
  </si>
  <si>
    <t>调减优质后备母牛饲养补贴区级配套资金</t>
  </si>
  <si>
    <t>农业组织化与产业化经营</t>
  </si>
  <si>
    <t>农村公益事业</t>
  </si>
  <si>
    <t>农业资源保护修复与利用</t>
  </si>
  <si>
    <t>科目调剂渔业资源保护、利用及建设经费等</t>
  </si>
  <si>
    <t>成品油价格改革对渔业的补贴</t>
  </si>
  <si>
    <t>对高校毕业生到基层任职补助</t>
  </si>
  <si>
    <t>其他农业支出</t>
  </si>
  <si>
    <t>增加上级支出；调减"农村人居环境综合整治"工作经费</t>
  </si>
  <si>
    <t>林业</t>
  </si>
  <si>
    <t>森林培育</t>
  </si>
  <si>
    <t>森林生态效益补偿</t>
  </si>
  <si>
    <t>动植物保护</t>
  </si>
  <si>
    <t>湿地保护</t>
  </si>
  <si>
    <t>林业执法与监督</t>
  </si>
  <si>
    <t>林业防灾减灾</t>
  </si>
  <si>
    <t>增加上级支出；科目调剂农业减灾增产经费</t>
  </si>
  <si>
    <t>其他林业支出</t>
  </si>
  <si>
    <t>水利</t>
  </si>
  <si>
    <t>水利行业业务管理</t>
  </si>
  <si>
    <t>水利工程建设</t>
  </si>
  <si>
    <t>调减水流娘排涝闸重建工程建设费用</t>
  </si>
  <si>
    <t>水利工程运行与维护</t>
  </si>
  <si>
    <t>水利前期工作</t>
  </si>
  <si>
    <t>调减蜈田塭堤至磊口桥海堤达标加固工程前期费用</t>
  </si>
  <si>
    <t>水土保持</t>
  </si>
  <si>
    <t>水资源节约管理与保护</t>
  </si>
  <si>
    <t>防汛</t>
  </si>
  <si>
    <t>抗旱</t>
  </si>
  <si>
    <t>农田水利</t>
  </si>
  <si>
    <t>水利技术推广</t>
  </si>
  <si>
    <t>水利安全监督</t>
  </si>
  <si>
    <t>其他水利支出</t>
  </si>
  <si>
    <t>增加上级支出；调减工程项目第三方技术审查和监理费</t>
  </si>
  <si>
    <t>扶贫</t>
  </si>
  <si>
    <t>其他扶贫支出</t>
  </si>
  <si>
    <t>增加上级支出；调减新时期精准扶贫小额信贷贴息专项资金和区级财政支持新时期精准扶贫精准脱贫配套资金</t>
  </si>
  <si>
    <t>农村综合改革</t>
  </si>
  <si>
    <t>对村级一事一议的补助</t>
  </si>
  <si>
    <t>调减一事一议项目建设工作经费</t>
  </si>
  <si>
    <t>对村集体经济组织的补助</t>
  </si>
  <si>
    <t>调增结转资金2018年扶持村级集体经济发民试点资金</t>
  </si>
  <si>
    <t>其他农村综合改革支出</t>
  </si>
  <si>
    <t>普惠金融发展支出</t>
  </si>
  <si>
    <t>农业保险保费补贴</t>
  </si>
  <si>
    <t>创业担保贷款贴息</t>
  </si>
  <si>
    <t>其他农林水支出</t>
  </si>
  <si>
    <t>调增达濠渔港海堤改建及品位提升工程项目、汕头市后江湾海堤修复加固工程可行性研究阶段工作经费等项目</t>
  </si>
  <si>
    <t>交通运输支出</t>
  </si>
  <si>
    <t>公路水路运输</t>
  </si>
  <si>
    <t>公路建设</t>
  </si>
  <si>
    <t>其他公路水路运输支出</t>
  </si>
  <si>
    <t>成品油价格改革对交通运输的补贴]</t>
  </si>
  <si>
    <t>对出租车的补贴</t>
  </si>
  <si>
    <t>其他交通运输支出</t>
  </si>
  <si>
    <t>调增公交亭配套公交坐凳和公益广告安装费用</t>
  </si>
  <si>
    <t>资源勘探信息等支出</t>
  </si>
  <si>
    <t>制造业</t>
  </si>
  <si>
    <t>其他制造业支出</t>
  </si>
  <si>
    <t>工业和信息产业监管</t>
  </si>
  <si>
    <t>其他工业和信息产业监管支出</t>
  </si>
  <si>
    <t>安全生产监管</t>
  </si>
  <si>
    <t>安全监管监察专项</t>
  </si>
  <si>
    <t>其他安全生产监管支出</t>
  </si>
  <si>
    <t>支持中小企业发展和管理支出</t>
  </si>
  <si>
    <t>中小企业发展专项</t>
  </si>
  <si>
    <t>商业服务业等支出</t>
  </si>
  <si>
    <t>商业流通事务</t>
  </si>
  <si>
    <t>其他商业流通事务支出</t>
  </si>
  <si>
    <t>旅游业管理与服务支出</t>
  </si>
  <si>
    <t>旅游宣传</t>
  </si>
  <si>
    <t>其他旅游业管理与服务支出</t>
  </si>
  <si>
    <t>涉外发展服务支出</t>
  </si>
  <si>
    <t>其他涉外发展服务支出</t>
  </si>
  <si>
    <t>增加上级支出；减少非税支出</t>
  </si>
  <si>
    <t>其他商业服务业等支出</t>
  </si>
  <si>
    <t>增加上级支出；新增规上限上专项资金</t>
  </si>
  <si>
    <t>金融支出</t>
  </si>
  <si>
    <t>其他金融支出</t>
  </si>
  <si>
    <t>国土海洋气象等支出</t>
  </si>
  <si>
    <t>国土资源事务</t>
  </si>
  <si>
    <t>国土整治</t>
  </si>
  <si>
    <t>地质灾害防治</t>
  </si>
  <si>
    <t>地质矿产资源利用与保护</t>
  </si>
  <si>
    <t>调增矿山储量核查工作经费</t>
  </si>
  <si>
    <t>其他国土资源事务支出</t>
  </si>
  <si>
    <t>海洋管理事务</t>
  </si>
  <si>
    <t>海域使用管理</t>
  </si>
  <si>
    <t>海洋环境保护与监测</t>
  </si>
  <si>
    <t>调增广澳湾南山海岸带整治修复项目</t>
  </si>
  <si>
    <t>其他海洋管理事务支出</t>
  </si>
  <si>
    <t>地震事务</t>
  </si>
  <si>
    <t>其他地震事务支出</t>
  </si>
  <si>
    <t>住房保障支出</t>
  </si>
  <si>
    <t>保障性安居工程支出</t>
  </si>
  <si>
    <t>棚户区改造</t>
  </si>
  <si>
    <t>调增棚户区抢险救灾工程</t>
  </si>
  <si>
    <t>农村危房改造</t>
  </si>
  <si>
    <t>公共租赁住房</t>
  </si>
  <si>
    <t>保障性住房租金补贴</t>
  </si>
  <si>
    <t>增加上级支出；增加非税支出</t>
  </si>
  <si>
    <t>住房改革支出</t>
  </si>
  <si>
    <t>住房公积金</t>
  </si>
  <si>
    <t>粮油物资储备支出</t>
  </si>
  <si>
    <t>粮油事务</t>
  </si>
  <si>
    <t>粮食风险基金</t>
  </si>
  <si>
    <t>其他粮油事务支出</t>
  </si>
  <si>
    <t>粮油储备</t>
  </si>
  <si>
    <t>储备粮（油）库建设</t>
  </si>
  <si>
    <t>科目调剂河浦粮库维修资金</t>
  </si>
  <si>
    <t>预备费</t>
  </si>
  <si>
    <t>其他支出</t>
  </si>
  <si>
    <t>增加上级支出；调增广澳公办幼儿园有关资产补偿款和预备工作经费等项目；科目调剂绩效考核奖金、岗位责任奖、休假补贴等</t>
  </si>
  <si>
    <t>转移性支出</t>
  </si>
  <si>
    <t>上解支出</t>
  </si>
  <si>
    <t>专项上解支出</t>
  </si>
  <si>
    <t>调减上解支出</t>
  </si>
  <si>
    <t>债务还本支出</t>
  </si>
  <si>
    <t>地方政府一般债务还本支出</t>
  </si>
  <si>
    <t>地方政府一般债券还本支出</t>
  </si>
  <si>
    <t>科目调剂</t>
  </si>
  <si>
    <t>债务付息支出</t>
  </si>
  <si>
    <t>地方政府一般债务付息支出</t>
  </si>
  <si>
    <t>地方政府一般债券付息支出</t>
  </si>
  <si>
    <t>地方政府其他一般债务付息支出</t>
  </si>
  <si>
    <t>债务发行费用支出</t>
  </si>
  <si>
    <t>地方政府一般债务发行费用支出</t>
  </si>
  <si>
    <t>调减债券发行费及手续费</t>
  </si>
  <si>
    <t>  </t>
  </si>
  <si>
    <t>附表3</t>
  </si>
  <si>
    <t>2018年本级公共财政预算调整项目表</t>
  </si>
  <si>
    <t>调增情况</t>
  </si>
  <si>
    <t>调减情况</t>
  </si>
  <si>
    <t>单位</t>
  </si>
  <si>
    <t>金额</t>
  </si>
  <si>
    <t>所属股室</t>
  </si>
  <si>
    <t>调增合计</t>
  </si>
  <si>
    <t>调减合计</t>
  </si>
  <si>
    <t>一、基本支出</t>
  </si>
  <si>
    <t>财政局代编</t>
  </si>
  <si>
    <t>2017-2018年机关事业单位养老保险缴费基数提高</t>
  </si>
  <si>
    <t>按政策按实结算</t>
  </si>
  <si>
    <t>社保股</t>
  </si>
  <si>
    <t>各单位</t>
  </si>
  <si>
    <t>住房改革补贴</t>
  </si>
  <si>
    <t>预算股</t>
  </si>
  <si>
    <t>预留机关事业单位养老和职业年金</t>
  </si>
  <si>
    <t>年终考核奖金等</t>
  </si>
  <si>
    <t>按实结算结余</t>
  </si>
  <si>
    <t>事业单位绩效考核奖金</t>
  </si>
  <si>
    <t>行财股1490.2，社保股4</t>
  </si>
  <si>
    <t>休假补贴</t>
  </si>
  <si>
    <t>人员经费等基本支出</t>
  </si>
  <si>
    <t>行财股136.72，社保股52，农业股36.02，预算股58</t>
  </si>
  <si>
    <t>二、政策性支出</t>
  </si>
  <si>
    <t>各单位丧葬费及抚恤金</t>
  </si>
  <si>
    <t>行财股</t>
  </si>
  <si>
    <t>教育局</t>
  </si>
  <si>
    <t>2018年城乡免费义务教育公用经费（区级）</t>
  </si>
  <si>
    <t>职教中心</t>
  </si>
  <si>
    <t>区配套国家助学金</t>
  </si>
  <si>
    <t>广澳街道</t>
  </si>
  <si>
    <t>火灾隐患重点地区整治专项经费</t>
  </si>
  <si>
    <t>区教育局</t>
  </si>
  <si>
    <t>2018年残疾学生公用经费</t>
  </si>
  <si>
    <t>民政局</t>
  </si>
  <si>
    <t>百岁老人长寿保健金提标</t>
  </si>
  <si>
    <t>疾控中心</t>
  </si>
  <si>
    <t>结核病控制经费</t>
  </si>
  <si>
    <t>调整我区80周岁以上100周岁以下高龄老人政府津贴</t>
  </si>
  <si>
    <t>卫计局</t>
  </si>
  <si>
    <t>计生家庭商业保险</t>
  </si>
  <si>
    <t>“银龄安康行动”政府统保</t>
  </si>
  <si>
    <t>组织部</t>
  </si>
  <si>
    <t>区第一、二批优秀拔尖人才津贴</t>
  </si>
  <si>
    <t>城乡医疗救助区级配套</t>
  </si>
  <si>
    <t>人事教师职称套改工资</t>
  </si>
  <si>
    <t>殡葬惠民</t>
  </si>
  <si>
    <t>经信局</t>
  </si>
  <si>
    <t>高新技术企业认定奖励区级配套</t>
  </si>
  <si>
    <t>人社局</t>
  </si>
  <si>
    <t>城乡居民养老基础养老金提标</t>
  </si>
  <si>
    <t>按政策按实结算（汕市财社【2018】141号</t>
  </si>
  <si>
    <t>农林水务局</t>
  </si>
  <si>
    <t>区级财政支持新时期精准扶贫精准脱贫配套资金</t>
  </si>
  <si>
    <t>项目按进度付款结余</t>
  </si>
  <si>
    <t>农业股</t>
  </si>
  <si>
    <t>技工院校贫困家庭学生生活补助</t>
  </si>
  <si>
    <t>新时期精准扶贫小额信贷贴息专项资金</t>
  </si>
  <si>
    <t>技工院校建档立卡贫困家庭学生生活费补助</t>
  </si>
  <si>
    <t>优质后备母牛饲养补贴区级配套资金</t>
  </si>
  <si>
    <t>提高区直困难企业退休军转干部最低生活困难补助</t>
  </si>
  <si>
    <t>街道财政体制</t>
  </si>
  <si>
    <t>城市管理专项经费改列基金预算</t>
  </si>
  <si>
    <t>离休老干部医药费</t>
  </si>
  <si>
    <t>三、部门专项工作经费</t>
  </si>
  <si>
    <t>区离休干部增发工资</t>
  </si>
  <si>
    <t>按政策按实结算，汕濠府办财函【2017】269号</t>
  </si>
  <si>
    <t>海洋渔业局</t>
  </si>
  <si>
    <t>100吨执法船油料费及维护保障经费</t>
  </si>
  <si>
    <t>离休干部护理费</t>
  </si>
  <si>
    <t>殡改年度工作补助经费</t>
  </si>
  <si>
    <t>学前教育生均公用经费</t>
  </si>
  <si>
    <t>根据政府批文调增</t>
  </si>
  <si>
    <t>八一慰问</t>
  </si>
  <si>
    <t>边防公安业务经费区级配套</t>
  </si>
  <si>
    <t>党政办</t>
  </si>
  <si>
    <t>区委区政府法律顾问服务费</t>
  </si>
  <si>
    <t>学前教育家庭困难儿童资助经费（区级）</t>
  </si>
  <si>
    <t>执法局</t>
  </si>
  <si>
    <t>移动执法平台建设经费</t>
  </si>
  <si>
    <t>预留公共租赁住房支出</t>
  </si>
  <si>
    <t>综合股</t>
  </si>
  <si>
    <t>开展驻点普遍直接联系群众工作经费</t>
  </si>
  <si>
    <t>房管所</t>
  </si>
  <si>
    <t>行政审批服务中心</t>
  </si>
  <si>
    <t>一门式一网式政务服务综合窗口人员经费</t>
  </si>
  <si>
    <t>棚户区抢险救灾工程</t>
  </si>
  <si>
    <t>非税支出</t>
  </si>
  <si>
    <t>巨灾保险费区级配套（2017年度）</t>
  </si>
  <si>
    <t>教师培训经费（学历提升）--教师队伍建设经费</t>
  </si>
  <si>
    <t>调整给教师境外培训</t>
  </si>
  <si>
    <t>四、上年结转支出</t>
  </si>
  <si>
    <t>巩卫城市复审迎检工作经费</t>
  </si>
  <si>
    <t>汕濠府办财函【2018】76号</t>
  </si>
  <si>
    <t>税务局</t>
  </si>
  <si>
    <t>三代手续费清算</t>
  </si>
  <si>
    <t>上级收回上年指标</t>
  </si>
  <si>
    <t>经建股</t>
  </si>
  <si>
    <t>地名普查成果转化</t>
  </si>
  <si>
    <t>按政府批文拨款</t>
  </si>
  <si>
    <t>各企业</t>
  </si>
  <si>
    <t>清算2016年省高新技术企业培育库入库企业（第三批）奖补资金</t>
  </si>
  <si>
    <t>增加区委大院后勤物业服务社会化购买费用</t>
  </si>
  <si>
    <t>部门专项经费</t>
  </si>
  <si>
    <t>清算2017年外经贸发展专项资金</t>
  </si>
  <si>
    <t>汕头市金山中学图书馆二楼阅览室装修资金</t>
  </si>
  <si>
    <t>清算2017年省科技发展专项资金（企业研发、高企培育、科技金融、前沿与关键技术）</t>
  </si>
  <si>
    <t>建设局</t>
  </si>
  <si>
    <t>区在建工程项目机械检验检测专项经费</t>
  </si>
  <si>
    <t>清算2016年上级结转2016年屠宰环节病害猪无害化处理中央财政补贴资金</t>
  </si>
  <si>
    <t>上级收回2016年指标</t>
  </si>
  <si>
    <t>武装部</t>
  </si>
  <si>
    <t>预定新兵役前教育训练经费</t>
  </si>
  <si>
    <t>五、基础设施建设及维护</t>
  </si>
  <si>
    <t>行政服务大楼运转经费</t>
  </si>
  <si>
    <t>蜈田塭堤至磊口桥海堤达标加固工程前期费用</t>
  </si>
  <si>
    <t>宣传部</t>
  </si>
  <si>
    <t>开展文化体育系列活动经费</t>
  </si>
  <si>
    <t>水流娘排涝闸重建工程建设费用</t>
  </si>
  <si>
    <t>区老年体协比赛经费</t>
  </si>
  <si>
    <t>工程项目第三方技术审查和监理费</t>
  </si>
  <si>
    <t>2018年防范和处置非法集资宣传教育活动经费</t>
  </si>
  <si>
    <t>宕石街道</t>
  </si>
  <si>
    <t>2017年本级结转濠江堤磊口段村前排水涵闸抢险修复补助资金</t>
  </si>
  <si>
    <t>统计局</t>
  </si>
  <si>
    <t>增拨第三次全国农业普查经费</t>
  </si>
  <si>
    <t>玉新中学</t>
  </si>
  <si>
    <t>玉新中学运动场改造</t>
  </si>
  <si>
    <t>基层政权和社区建设经费</t>
  </si>
  <si>
    <t>部门工作经费</t>
  </si>
  <si>
    <t>市政所</t>
  </si>
  <si>
    <t>市政设施水费</t>
  </si>
  <si>
    <t>社会组织工作经费</t>
  </si>
  <si>
    <t>六、上解支出</t>
  </si>
  <si>
    <t>优抚安置工作经费</t>
  </si>
  <si>
    <t>市财政局</t>
  </si>
  <si>
    <t>严重精神病患者工作经费</t>
  </si>
  <si>
    <t>七、财政代编预留资金</t>
  </si>
  <si>
    <t>工作经费补助（四大节日）</t>
  </si>
  <si>
    <t>预留春节慰问经费</t>
  </si>
  <si>
    <t>征收经费</t>
  </si>
  <si>
    <t>预留春节慰问等经费</t>
  </si>
  <si>
    <t>2018年“1+8”教育综合改革工作经费</t>
  </si>
  <si>
    <t>预留礐石风景区</t>
  </si>
  <si>
    <t>风景区尚无下放</t>
  </si>
  <si>
    <t>德育经费</t>
  </si>
  <si>
    <t>预留旅游专项</t>
  </si>
  <si>
    <t>项目结余较大</t>
  </si>
  <si>
    <t>督导工作专项经费</t>
  </si>
  <si>
    <t>农村人居环境综合整治工作经费</t>
  </si>
  <si>
    <t>教育“创现”督导评估专项经费</t>
  </si>
  <si>
    <t>一事一议项目建设工作经费</t>
  </si>
  <si>
    <t>学生体质健康测试器材</t>
  </si>
  <si>
    <t>“美丽乡村”绿化美化工作经费</t>
  </si>
  <si>
    <t>教师培训经费（境外培训）</t>
  </si>
  <si>
    <t>预留农村基层经费</t>
  </si>
  <si>
    <t>财政局</t>
  </si>
  <si>
    <t>濠江区办公市场租金调研评估服务费</t>
  </si>
  <si>
    <t>债券发行费及手续费</t>
  </si>
  <si>
    <t>财政信息系统建设和维护费用</t>
  </si>
  <si>
    <t>发规局</t>
  </si>
  <si>
    <t>濠江区“十三五”规划实施中期评估经费</t>
  </si>
  <si>
    <t>区机关集体宿舍保洁服务费</t>
  </si>
  <si>
    <t>网上信访信息系统“业务流程再造”升级改造项目建设经费</t>
  </si>
  <si>
    <t>党政内网机房改造经费</t>
  </si>
  <si>
    <t>食药局</t>
  </si>
  <si>
    <t>工作补充经费</t>
  </si>
  <si>
    <t>城建环保局</t>
  </si>
  <si>
    <t>汕濠府办财函【2018】199号</t>
  </si>
  <si>
    <t>综合执法局</t>
  </si>
  <si>
    <t>汕濠府办财函【2018】170号</t>
  </si>
  <si>
    <t>国土局</t>
  </si>
  <si>
    <t>矿山储量核查工作经费</t>
  </si>
  <si>
    <t>项目调增，已报政府未批复</t>
  </si>
  <si>
    <t>青州盐场国有资产清理专项工作经费</t>
  </si>
  <si>
    <t>汕濠财函[2018]155号</t>
  </si>
  <si>
    <t>国资股</t>
  </si>
  <si>
    <t>政法委</t>
  </si>
  <si>
    <t>公务用车购置经费</t>
  </si>
  <si>
    <t>汕濠财函[2018]134号</t>
  </si>
  <si>
    <t>农村人居环境、一事一议、名镇名村、美丽乡村等项目工作经费</t>
  </si>
  <si>
    <t>预留机动经费</t>
  </si>
  <si>
    <t>农村集体资产管理服务交易平台有关工作经费</t>
  </si>
  <si>
    <t>汕濠府办财函【2018】178号</t>
  </si>
  <si>
    <t>现代农业产园创建工作经费</t>
  </si>
  <si>
    <t>汕濠府办财函【2018】162号</t>
  </si>
  <si>
    <t>汕头市后江湾海堤修复加固工程可行性研究阶段工作经费</t>
  </si>
  <si>
    <t>汕濠府办财函【2018】207号</t>
  </si>
  <si>
    <t>农村集体资产清产核资工作经费</t>
  </si>
  <si>
    <t>汕濠府办财函【2018】220号</t>
  </si>
  <si>
    <t>新增规上限上专项资金</t>
  </si>
  <si>
    <t>扶持企业资金</t>
  </si>
  <si>
    <t>工贸股</t>
  </si>
  <si>
    <t>四、出国出境经费</t>
  </si>
  <si>
    <t>预留全区领导干部出国出境经费</t>
  </si>
  <si>
    <t>公交亭配套公交坐凳和公益广告安装费用</t>
  </si>
  <si>
    <t>南山湾办</t>
  </si>
  <si>
    <t>公厕建设</t>
  </si>
  <si>
    <t>疏港大桥岸上助航标准设施</t>
  </si>
  <si>
    <t>濠江教师公寓场区改造工程</t>
  </si>
  <si>
    <t>广澳湾南山海岸带整治修复项目</t>
  </si>
  <si>
    <t>汕濠府办财函〔2017〕194号</t>
  </si>
  <si>
    <t>疏港大桥水域安全监管系统运行、维护费用</t>
  </si>
  <si>
    <t>2018年/3/26区政府工作会议纪要第20期</t>
  </si>
  <si>
    <t>疏港大桥水域安全监管系统人工调遣费</t>
  </si>
  <si>
    <t>村管小型水利工程管护经费（小型水管体制改革）</t>
  </si>
  <si>
    <t>汕濠财函[2018]578号</t>
  </si>
  <si>
    <t>达濠渔港海堤改建及品味提升工程建设项目</t>
  </si>
  <si>
    <t>汕濠财函[2018]138号</t>
  </si>
  <si>
    <t>交通秩序专项整治行动经费</t>
  </si>
  <si>
    <t>网警实战平台建设终端设备经费</t>
  </si>
  <si>
    <t>国道324线红旗岭治安执勤点建设项目</t>
  </si>
  <si>
    <t>广澳公办幼儿园资产补偿经费</t>
  </si>
  <si>
    <t>双泉公园及13座涵闸管养经费</t>
  </si>
  <si>
    <t>达南路配套给水工程结算尾款</t>
  </si>
  <si>
    <t>磊广路珠浦路口交通信号灯</t>
  </si>
  <si>
    <t>六、上级结转形成支出</t>
  </si>
  <si>
    <t>预下达2018年扶持村级集体经济发展试点资金</t>
  </si>
  <si>
    <t>上年上级结转形成</t>
  </si>
  <si>
    <t>2017年农业发展和农村工作专项资金（扶持老区发展和扶贫培训）</t>
  </si>
  <si>
    <t>2017年省财政支持新时期精准扶贫精准脱贫资金（第二批）</t>
  </si>
  <si>
    <t>2017年省财政耕地地力保护补贴工作经费</t>
  </si>
  <si>
    <t>2017年上级结转：结算2016年中央财政城乡居民基本医疗保险补助资金（17）149</t>
  </si>
  <si>
    <t>2017年省级结转2017年城乡居民基本养老保险中央财政补助资金（汕市财社【2017】282）</t>
  </si>
  <si>
    <t>增加机动预留资金</t>
  </si>
  <si>
    <t>预算50，行财600，社保300，工贸100，农业50</t>
  </si>
  <si>
    <t>附表4</t>
  </si>
  <si>
    <t>2018年上级公共财政财力性补助收支预算调整表</t>
  </si>
  <si>
    <t>上级财力性补助收入</t>
  </si>
  <si>
    <t>使用范围</t>
  </si>
  <si>
    <t>年初预算</t>
  </si>
  <si>
    <t>调整预算</t>
  </si>
  <si>
    <t>民生支出</t>
  </si>
  <si>
    <t>运转支出</t>
  </si>
  <si>
    <t>协调发展支出</t>
  </si>
  <si>
    <t>省</t>
  </si>
  <si>
    <t>市</t>
  </si>
  <si>
    <t>城乡低保</t>
  </si>
  <si>
    <t>临时救助、医疗救助</t>
  </si>
  <si>
    <t>城乡居民养老</t>
  </si>
  <si>
    <t>城乡居民医保</t>
  </si>
  <si>
    <t>残疾人生活津贴及护理补贴</t>
  </si>
  <si>
    <t>城镇三无人员、农村籍退役士兵补贴</t>
  </si>
  <si>
    <t>退伍兵安置金、义务兵优待金</t>
  </si>
  <si>
    <t>随军家属生活补、拥军优属慰问</t>
  </si>
  <si>
    <t>精准扶贫</t>
  </si>
  <si>
    <t>儿童、老年福利</t>
  </si>
  <si>
    <t>殡葬公共服务均等化</t>
  </si>
  <si>
    <t>教育义教、特殊教育公用经费</t>
  </si>
  <si>
    <t>中职、高中助学金免费学</t>
  </si>
  <si>
    <t>教师绩效工资</t>
  </si>
  <si>
    <t>基本、重大公共卫生</t>
  </si>
  <si>
    <t>困难企业退休人员医保</t>
  </si>
  <si>
    <t>一事一议</t>
  </si>
  <si>
    <t>森林防火</t>
  </si>
  <si>
    <t>防汛、抗旱、休渔资金</t>
  </si>
  <si>
    <t>珠浦水井围电排站新建工程</t>
  </si>
  <si>
    <t>实训基地建设补助</t>
  </si>
  <si>
    <t>赤脚医生生活补</t>
  </si>
  <si>
    <t>计生对象奖励和商业保险等计生专项</t>
  </si>
  <si>
    <t>高龄老人政府津贴及农村五保等</t>
  </si>
  <si>
    <t>严重精神病监护补助</t>
  </si>
  <si>
    <t>“平安濠江”视频监控系统专项</t>
  </si>
  <si>
    <t>基层公共服务平台建设</t>
  </si>
  <si>
    <t>消防车</t>
  </si>
  <si>
    <t>增值税和消费税税收返还收入</t>
  </si>
  <si>
    <t>经常性财力补助</t>
  </si>
  <si>
    <t>增值税五五分成税收返还收入</t>
  </si>
  <si>
    <t>所得税基数返还收入</t>
  </si>
  <si>
    <t>其他一般性转移支付收入（下划机构经费）</t>
  </si>
  <si>
    <t>其他一般性转移支付收入（行政体制改革市补助资金）</t>
  </si>
  <si>
    <t>其他一般性转移支付收入（缓解县乡财政困难综合性财力补助）</t>
  </si>
  <si>
    <t>其他税收返还收入</t>
  </si>
  <si>
    <t>体制补助收入</t>
  </si>
  <si>
    <t>调整工资转移支付补助收入</t>
  </si>
  <si>
    <t>农村税费改革补助收入</t>
  </si>
  <si>
    <t>其他支出（2015年耕地税基数内返还）</t>
  </si>
  <si>
    <t>县级基本财力保障机制奖补资金收入</t>
  </si>
  <si>
    <t>非经常性财力补助</t>
  </si>
  <si>
    <t>中央均衡性补助收入</t>
  </si>
  <si>
    <t>其他一般性转移支付收入（关于下达濠江区2017年中心城区共享收入激励和约束机制资金）</t>
  </si>
  <si>
    <t>各股室</t>
  </si>
  <si>
    <t>说明：1、根据《广东省人民政府办公厅关于印发广东省财政一般性转移支付资金管理办法的通知》（粤府办【2014】31号）要求编制。</t>
  </si>
  <si>
    <t xml:space="preserve">      2、本表资金是指上级一般性转移支付在内的所有财力性补助，主要根据汕市财预【2016】226、227号等文件提前下达基数编列。</t>
  </si>
  <si>
    <t xml:space="preserve">      3、本表资金加上本级公共财政预算收入统筹用于本级公共财政预算支出。</t>
  </si>
  <si>
    <t>附表9</t>
  </si>
  <si>
    <t>盘活2017年部分教育基础设施项目情况表</t>
  </si>
  <si>
    <t>2017年列支挂存情况</t>
  </si>
  <si>
    <t>收回2017年部分列支挂存项目重新安排的情况</t>
  </si>
  <si>
    <t>主管部门</t>
  </si>
  <si>
    <t>类型</t>
  </si>
  <si>
    <t>收回金额</t>
  </si>
  <si>
    <t>重新安排金额</t>
  </si>
  <si>
    <t>区教师发展中心</t>
  </si>
  <si>
    <t>校舍及配套建设</t>
  </si>
  <si>
    <t>收回项目</t>
  </si>
  <si>
    <t>濠江花园南区幼儿园</t>
  </si>
  <si>
    <t>园舍及配套设施建设</t>
  </si>
  <si>
    <t>河浦中学</t>
  </si>
  <si>
    <t>学生宿舍楼及配套设施项目</t>
  </si>
  <si>
    <t>广澳公办幼儿园</t>
  </si>
  <si>
    <t>消防设施改造</t>
  </si>
  <si>
    <t>达濠华侨中学</t>
  </si>
  <si>
    <t>场区平整、运动场及配套项目</t>
  </si>
  <si>
    <t>重新安排项目</t>
  </si>
  <si>
    <t>滨海中学</t>
  </si>
  <si>
    <t>滨海中学运动场地修缮改造项目</t>
  </si>
  <si>
    <t>礐石中学</t>
  </si>
  <si>
    <t>运动场及配套设施改建项目</t>
  </si>
  <si>
    <t>河浦中学教学及配套用房项目</t>
  </si>
  <si>
    <t>达濠中学</t>
  </si>
  <si>
    <t>达濠中学扩建单身教师宿舍楼项目补助资金</t>
  </si>
  <si>
    <t>校园入口广场升级改造</t>
  </si>
  <si>
    <t>玉新中学卫生间改造</t>
  </si>
  <si>
    <t>葛陈小学</t>
  </si>
  <si>
    <t>葛陈小学运动场改建工程项目</t>
  </si>
  <si>
    <t>珠浦第二小学</t>
  </si>
  <si>
    <t>珠浦第二小学改建教学楼综合楼及配套项目</t>
  </si>
  <si>
    <t>校道及下水道修缮改造项目</t>
  </si>
  <si>
    <t>玉石小学</t>
  </si>
  <si>
    <t>玉石小学用地确权和改建教学楼项目</t>
  </si>
  <si>
    <t>埭头小学</t>
  </si>
  <si>
    <t>综合改造及配套</t>
  </si>
  <si>
    <t>华南师范大学附属濠江实验学校</t>
  </si>
  <si>
    <t>华南师范大学附属濠江实验学校项目前期费用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</si>
</sst>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_ * #,##0_ ;_ * \-#,##0_ ;_ * &quot;-&quot;??_ ;_ @_ "/>
  </numFmts>
  <fonts count="40">
    <font>
      <sz val="12"/>
      <name val="宋体"/>
      <family val="0"/>
    </font>
    <font>
      <sz val="11"/>
      <name val="宋体"/>
      <family val="0"/>
    </font>
    <font>
      <sz val="11"/>
      <color indexed="8"/>
      <name val="宋体"/>
      <family val="0"/>
    </font>
    <font>
      <b/>
      <sz val="20"/>
      <color indexed="8"/>
      <name val="宋体"/>
      <family val="0"/>
    </font>
    <font>
      <sz val="10"/>
      <name val="宋体"/>
      <family val="0"/>
    </font>
    <font>
      <b/>
      <sz val="11"/>
      <color indexed="8"/>
      <name val="宋体"/>
      <family val="0"/>
    </font>
    <font>
      <b/>
      <sz val="20"/>
      <name val="宋体"/>
      <family val="0"/>
    </font>
    <font>
      <b/>
      <sz val="10"/>
      <name val="宋体"/>
      <family val="0"/>
    </font>
    <font>
      <sz val="10"/>
      <color indexed="8"/>
      <name val="宋体"/>
      <family val="0"/>
    </font>
    <font>
      <sz val="10"/>
      <color indexed="10"/>
      <name val="宋体"/>
      <family val="0"/>
    </font>
    <font>
      <b/>
      <sz val="18"/>
      <name val="宋体"/>
      <family val="0"/>
    </font>
    <font>
      <sz val="14"/>
      <name val="宋体"/>
      <family val="0"/>
    </font>
    <font>
      <b/>
      <sz val="24"/>
      <name val="宋体"/>
      <family val="0"/>
    </font>
    <font>
      <b/>
      <sz val="11"/>
      <name val="宋体"/>
      <family val="0"/>
    </font>
    <font>
      <sz val="12"/>
      <color indexed="8"/>
      <name val="宋体"/>
      <family val="0"/>
    </font>
    <font>
      <sz val="9"/>
      <name val="宋体"/>
      <family val="0"/>
    </font>
    <font>
      <sz val="16"/>
      <name val="宋体"/>
      <family val="0"/>
    </font>
    <font>
      <b/>
      <sz val="2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28"/>
      <name val="Times New Roman"/>
      <family val="1"/>
    </font>
    <font>
      <b/>
      <sz val="9"/>
      <name val="宋体"/>
      <family val="0"/>
    </font>
    <font>
      <sz val="9"/>
      <name val="Tahoma"/>
      <family val="2"/>
    </font>
    <font>
      <b/>
      <sz val="9"/>
      <name val="Tahoma"/>
      <family val="2"/>
    </font>
    <font>
      <b/>
      <sz val="8"/>
      <name val="宋体"/>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style="thin"/>
      <top style="thin"/>
      <bottom style="thin"/>
    </border>
    <border>
      <left style="thin"/>
      <right style="thin"/>
      <top style="thin"/>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right style="medium"/>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color indexed="63"/>
      </right>
      <top style="medium"/>
      <bottom style="thin"/>
    </border>
    <border>
      <left/>
      <right style="medium"/>
      <top style="thin"/>
      <bottom style="thin"/>
    </border>
    <border>
      <left/>
      <right/>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top style="thin"/>
      <bottom/>
    </border>
  </borders>
  <cellStyleXfs count="35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5"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34" fillId="23" borderId="0" applyNumberFormat="0" applyBorder="0" applyAlignment="0" applyProtection="0"/>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2" fillId="0" borderId="0">
      <alignment vertical="center"/>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vertical="center"/>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vertical="center"/>
      <protection/>
    </xf>
    <xf numFmtId="0" fontId="2"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vertical="center"/>
      <protection/>
    </xf>
    <xf numFmtId="0" fontId="0" fillId="0" borderId="0">
      <alignment/>
      <protection/>
    </xf>
    <xf numFmtId="0" fontId="4" fillId="0" borderId="0">
      <alignment/>
      <protection/>
    </xf>
    <xf numFmtId="0" fontId="0" fillId="0" borderId="0">
      <alignment/>
      <protection/>
    </xf>
    <xf numFmtId="0" fontId="2" fillId="0" borderId="0">
      <alignment vertical="center"/>
      <protection/>
    </xf>
    <xf numFmtId="0" fontId="0" fillId="0" borderId="0">
      <alignment/>
      <protection/>
    </xf>
    <xf numFmtId="0" fontId="4" fillId="0" borderId="0">
      <alignment/>
      <protection/>
    </xf>
    <xf numFmtId="0" fontId="0" fillId="0" borderId="0">
      <alignment/>
      <protection/>
    </xf>
    <xf numFmtId="0" fontId="2" fillId="0" borderId="0">
      <alignment vertical="center"/>
      <protection/>
    </xf>
    <xf numFmtId="0" fontId="0" fillId="0" borderId="0">
      <alignment/>
      <protection/>
    </xf>
    <xf numFmtId="0" fontId="4" fillId="0" borderId="0">
      <alignment/>
      <protection/>
    </xf>
    <xf numFmtId="0" fontId="0" fillId="0" borderId="0">
      <alignment/>
      <protection/>
    </xf>
    <xf numFmtId="0" fontId="2"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0"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99">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2883" applyFont="1" applyFill="1" applyBorder="1" applyAlignment="1">
      <alignment vertical="center"/>
      <protection/>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vertical="center"/>
    </xf>
    <xf numFmtId="0" fontId="1" fillId="0" borderId="16" xfId="2883" applyFont="1" applyFill="1" applyBorder="1" applyAlignment="1">
      <alignment vertical="center"/>
      <protection/>
    </xf>
    <xf numFmtId="0" fontId="1" fillId="0" borderId="16" xfId="2883" applyFont="1" applyFill="1" applyBorder="1" applyAlignment="1">
      <alignment horizontal="left" vertical="center" wrapText="1"/>
      <protection/>
    </xf>
    <xf numFmtId="0" fontId="1" fillId="0" borderId="17" xfId="2883" applyFont="1" applyFill="1" applyBorder="1" applyAlignment="1">
      <alignment horizontal="center" vertical="center"/>
      <protection/>
    </xf>
    <xf numFmtId="0" fontId="1" fillId="0" borderId="15" xfId="2883" applyFont="1" applyFill="1" applyBorder="1" applyAlignment="1">
      <alignment horizontal="center" vertical="center"/>
      <protection/>
    </xf>
    <xf numFmtId="0" fontId="2" fillId="0" borderId="19" xfId="0" applyFont="1" applyFill="1" applyBorder="1" applyAlignment="1">
      <alignment vertical="center"/>
    </xf>
    <xf numFmtId="0" fontId="1" fillId="0" borderId="16" xfId="2883" applyFont="1" applyFill="1" applyBorder="1" applyAlignment="1">
      <alignment horizontal="left" vertical="center"/>
      <protection/>
    </xf>
    <xf numFmtId="0" fontId="2" fillId="0" borderId="20" xfId="0" applyFont="1" applyFill="1" applyBorder="1" applyAlignment="1">
      <alignment vertical="center"/>
    </xf>
    <xf numFmtId="0" fontId="2" fillId="0" borderId="21" xfId="0" applyFont="1" applyFill="1" applyBorder="1" applyAlignment="1">
      <alignment vertical="center"/>
    </xf>
    <xf numFmtId="0" fontId="1" fillId="0" borderId="22" xfId="2883" applyFont="1" applyFill="1" applyBorder="1" applyAlignment="1">
      <alignment horizontal="center" vertical="center" wrapText="1"/>
      <protection/>
    </xf>
    <xf numFmtId="0" fontId="2" fillId="0" borderId="16" xfId="0" applyFont="1" applyFill="1" applyBorder="1" applyAlignment="1">
      <alignment vertical="center"/>
    </xf>
    <xf numFmtId="0" fontId="2" fillId="0" borderId="16" xfId="0" applyFont="1" applyFill="1" applyBorder="1" applyAlignment="1">
      <alignment vertical="center" wrapText="1"/>
    </xf>
    <xf numFmtId="0" fontId="1" fillId="0" borderId="23" xfId="2883" applyFont="1" applyFill="1" applyBorder="1" applyAlignment="1">
      <alignment horizontal="center" vertical="center" wrapText="1"/>
      <protection/>
    </xf>
    <xf numFmtId="0" fontId="1" fillId="0" borderId="24" xfId="2883" applyFont="1" applyFill="1" applyBorder="1" applyAlignment="1">
      <alignment horizontal="center" vertical="center" wrapText="1"/>
      <protection/>
    </xf>
    <xf numFmtId="0" fontId="1" fillId="0" borderId="16" xfId="2883" applyFont="1" applyFill="1" applyBorder="1" applyAlignment="1">
      <alignment vertical="center" wrapText="1"/>
      <protection/>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2" fillId="0" borderId="17" xfId="0" applyFont="1" applyFill="1" applyBorder="1" applyAlignment="1">
      <alignment horizontal="center" vertical="center" wrapText="1"/>
    </xf>
    <xf numFmtId="0" fontId="1" fillId="0" borderId="16" xfId="2883" applyFont="1" applyFill="1" applyBorder="1" applyAlignment="1">
      <alignment horizontal="center" vertical="center"/>
      <protection/>
    </xf>
    <xf numFmtId="0" fontId="1" fillId="0" borderId="0" xfId="2883" applyFont="1" applyFill="1" applyBorder="1" applyAlignment="1">
      <alignment horizontal="left" vertical="center" wrapText="1"/>
      <protection/>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xf>
    <xf numFmtId="176" fontId="4" fillId="0" borderId="0" xfId="0" applyNumberFormat="1" applyFont="1" applyFill="1" applyAlignment="1">
      <alignment horizontal="center"/>
    </xf>
    <xf numFmtId="176" fontId="4" fillId="0" borderId="0" xfId="0" applyNumberFormat="1" applyFont="1" applyFill="1" applyAlignment="1">
      <alignment/>
    </xf>
    <xf numFmtId="0" fontId="0" fillId="0" borderId="0" xfId="0" applyFont="1" applyFill="1" applyAlignment="1">
      <alignment/>
    </xf>
    <xf numFmtId="0" fontId="6" fillId="0" borderId="0" xfId="0" applyFont="1" applyFill="1" applyAlignment="1">
      <alignment horizontal="center"/>
    </xf>
    <xf numFmtId="0" fontId="4" fillId="0" borderId="32" xfId="0" applyFont="1" applyFill="1" applyBorder="1" applyAlignment="1">
      <alignment horizontal="center" vertical="center" wrapText="1"/>
    </xf>
    <xf numFmtId="176" fontId="4" fillId="0" borderId="33"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wrapText="1"/>
    </xf>
    <xf numFmtId="176" fontId="4" fillId="0" borderId="35"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0" fontId="4" fillId="0" borderId="40" xfId="0"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0" fontId="4" fillId="0" borderId="16" xfId="0" applyFont="1" applyFill="1" applyBorder="1" applyAlignment="1">
      <alignment vertical="center" wrapText="1"/>
    </xf>
    <xf numFmtId="176" fontId="4" fillId="0" borderId="16" xfId="0" applyNumberFormat="1" applyFont="1" applyFill="1" applyBorder="1" applyAlignment="1">
      <alignment vertical="center" wrapText="1"/>
    </xf>
    <xf numFmtId="0" fontId="7" fillId="0" borderId="16" xfId="0"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6" xfId="0" applyNumberFormat="1" applyFont="1" applyFill="1" applyBorder="1" applyAlignment="1">
      <alignment vertical="center" wrapText="1"/>
    </xf>
    <xf numFmtId="0" fontId="4" fillId="0" borderId="16" xfId="0" applyFont="1" applyFill="1" applyBorder="1" applyAlignment="1">
      <alignment horizontal="center" vertical="center"/>
    </xf>
    <xf numFmtId="176" fontId="4" fillId="0" borderId="16" xfId="0" applyNumberFormat="1" applyFont="1" applyFill="1" applyBorder="1" applyAlignment="1">
      <alignment horizontal="center" vertical="center"/>
    </xf>
    <xf numFmtId="0" fontId="4" fillId="0" borderId="0" xfId="0" applyFont="1" applyFill="1" applyAlignment="1">
      <alignment/>
    </xf>
    <xf numFmtId="176" fontId="4" fillId="0" borderId="38" xfId="0" applyNumberFormat="1" applyFont="1" applyFill="1" applyBorder="1" applyAlignment="1">
      <alignment horizontal="center" vertical="center" wrapText="1"/>
    </xf>
    <xf numFmtId="176" fontId="4" fillId="0" borderId="16" xfId="2209" applyNumberFormat="1" applyFont="1" applyFill="1" applyBorder="1" applyAlignment="1">
      <alignment horizontal="center" vertical="center"/>
      <protection/>
    </xf>
    <xf numFmtId="176" fontId="4" fillId="0" borderId="16" xfId="2609" applyNumberFormat="1" applyFont="1" applyFill="1" applyBorder="1" applyAlignment="1">
      <alignment/>
      <protection/>
    </xf>
    <xf numFmtId="0" fontId="4" fillId="0" borderId="16" xfId="0" applyFont="1" applyFill="1" applyBorder="1" applyAlignment="1">
      <alignment/>
    </xf>
    <xf numFmtId="176" fontId="1" fillId="0" borderId="0" xfId="0" applyNumberFormat="1" applyFont="1" applyFill="1" applyAlignment="1">
      <alignment vertical="center"/>
    </xf>
    <xf numFmtId="176" fontId="4" fillId="0" borderId="39" xfId="0" applyNumberFormat="1" applyFont="1" applyFill="1" applyBorder="1" applyAlignment="1">
      <alignment horizontal="center" vertical="center" wrapText="1"/>
    </xf>
    <xf numFmtId="176" fontId="8" fillId="0" borderId="16" xfId="0" applyNumberFormat="1" applyFont="1" applyFill="1" applyBorder="1" applyAlignment="1">
      <alignment vertical="center" wrapText="1"/>
    </xf>
    <xf numFmtId="176" fontId="9" fillId="0" borderId="16" xfId="0" applyNumberFormat="1" applyFont="1" applyFill="1" applyBorder="1" applyAlignment="1">
      <alignment vertical="center" wrapText="1"/>
    </xf>
    <xf numFmtId="0" fontId="7" fillId="0" borderId="16" xfId="0" applyFont="1" applyFill="1" applyBorder="1" applyAlignment="1">
      <alignment vertical="center" wrapText="1"/>
    </xf>
    <xf numFmtId="0" fontId="0" fillId="0" borderId="0" xfId="0" applyFill="1" applyAlignment="1">
      <alignment vertical="center"/>
    </xf>
    <xf numFmtId="0" fontId="0" fillId="0" borderId="0" xfId="0" applyFill="1" applyAlignment="1">
      <alignment vertical="center" wrapText="1"/>
    </xf>
    <xf numFmtId="177" fontId="4" fillId="0" borderId="0" xfId="0" applyNumberFormat="1" applyFont="1" applyFill="1" applyAlignment="1">
      <alignment horizontal="center" vertical="center"/>
    </xf>
    <xf numFmtId="177" fontId="0" fillId="0" borderId="0" xfId="0" applyNumberFormat="1" applyFill="1" applyAlignment="1">
      <alignment vertical="center" wrapText="1"/>
    </xf>
    <xf numFmtId="177" fontId="0" fillId="0" borderId="0" xfId="0" applyNumberFormat="1" applyFill="1" applyAlignment="1">
      <alignment vertical="center"/>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177" fontId="7" fillId="0" borderId="31" xfId="0" applyNumberFormat="1" applyFont="1" applyFill="1" applyBorder="1" applyAlignment="1">
      <alignment vertical="center"/>
    </xf>
    <xf numFmtId="177" fontId="7" fillId="0" borderId="44" xfId="0" applyNumberFormat="1" applyFont="1" applyFill="1" applyBorder="1" applyAlignment="1">
      <alignment horizontal="center" vertical="center"/>
    </xf>
    <xf numFmtId="177" fontId="7" fillId="0" borderId="42" xfId="0" applyNumberFormat="1" applyFont="1" applyFill="1" applyBorder="1" applyAlignment="1">
      <alignment horizontal="center" vertical="center"/>
    </xf>
    <xf numFmtId="0" fontId="7" fillId="0" borderId="15" xfId="0" applyFont="1" applyFill="1" applyBorder="1" applyAlignment="1">
      <alignment horizontal="center" vertical="center"/>
    </xf>
    <xf numFmtId="177" fontId="7" fillId="0" borderId="16"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wrapText="1"/>
    </xf>
    <xf numFmtId="177" fontId="7" fillId="0" borderId="45"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0" fontId="7" fillId="0" borderId="16" xfId="0" applyFont="1" applyFill="1" applyBorder="1" applyAlignment="1">
      <alignment horizontal="center" vertical="center"/>
    </xf>
    <xf numFmtId="177" fontId="7" fillId="0" borderId="17" xfId="0" applyNumberFormat="1" applyFont="1" applyFill="1" applyBorder="1" applyAlignment="1">
      <alignment vertical="center" wrapText="1"/>
    </xf>
    <xf numFmtId="177" fontId="7" fillId="0" borderId="46" xfId="0" applyNumberFormat="1" applyFont="1" applyFill="1" applyBorder="1" applyAlignment="1">
      <alignment vertical="center"/>
    </xf>
    <xf numFmtId="0" fontId="4" fillId="0" borderId="47" xfId="0" applyFont="1" applyFill="1" applyBorder="1" applyAlignment="1">
      <alignment horizontal="center" vertical="center"/>
    </xf>
    <xf numFmtId="0" fontId="4" fillId="0" borderId="35" xfId="0"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17" xfId="0" applyNumberFormat="1" applyFont="1" applyFill="1" applyBorder="1" applyAlignment="1">
      <alignment vertical="center" wrapText="1"/>
    </xf>
    <xf numFmtId="177" fontId="4" fillId="0" borderId="46" xfId="0" applyNumberFormat="1" applyFont="1" applyFill="1" applyBorder="1" applyAlignment="1">
      <alignment vertical="center"/>
    </xf>
    <xf numFmtId="0" fontId="4" fillId="0" borderId="15" xfId="0" applyFont="1" applyFill="1" applyBorder="1" applyAlignment="1">
      <alignment vertical="center"/>
    </xf>
    <xf numFmtId="177" fontId="4" fillId="0" borderId="16" xfId="0" applyNumberFormat="1" applyFont="1" applyFill="1" applyBorder="1" applyAlignment="1">
      <alignment vertical="center"/>
    </xf>
    <xf numFmtId="177" fontId="4" fillId="0" borderId="16" xfId="0" applyNumberFormat="1" applyFont="1" applyFill="1" applyBorder="1" applyAlignment="1">
      <alignment vertical="center" wrapText="1"/>
    </xf>
    <xf numFmtId="177" fontId="4" fillId="0" borderId="46" xfId="0" applyNumberFormat="1" applyFont="1" applyFill="1" applyBorder="1" applyAlignment="1">
      <alignment vertical="center" wrapText="1"/>
    </xf>
    <xf numFmtId="177" fontId="8" fillId="0" borderId="16" xfId="0" applyNumberFormat="1" applyFont="1" applyFill="1" applyBorder="1" applyAlignment="1">
      <alignment vertical="center" wrapText="1"/>
    </xf>
    <xf numFmtId="177" fontId="8" fillId="0" borderId="16" xfId="0" applyNumberFormat="1" applyFont="1" applyFill="1" applyBorder="1" applyAlignment="1">
      <alignment horizontal="center" vertical="center" wrapText="1"/>
    </xf>
    <xf numFmtId="0" fontId="8" fillId="0" borderId="16" xfId="0" applyFont="1" applyFill="1" applyBorder="1" applyAlignment="1">
      <alignment vertical="center" wrapText="1"/>
    </xf>
    <xf numFmtId="177" fontId="8" fillId="0" borderId="16"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wrapText="1"/>
    </xf>
    <xf numFmtId="177" fontId="8" fillId="0" borderId="40" xfId="0" applyNumberFormat="1" applyFont="1" applyFill="1" applyBorder="1" applyAlignment="1">
      <alignment horizontal="center" vertical="center" wrapText="1"/>
    </xf>
    <xf numFmtId="0" fontId="8" fillId="0" borderId="15" xfId="0" applyFont="1" applyFill="1" applyBorder="1" applyAlignment="1">
      <alignment vertical="center" wrapText="1"/>
    </xf>
    <xf numFmtId="177" fontId="8" fillId="0" borderId="17" xfId="0" applyNumberFormat="1" applyFont="1" applyFill="1" applyBorder="1" applyAlignment="1">
      <alignment vertical="center" wrapText="1"/>
    </xf>
    <xf numFmtId="177" fontId="4" fillId="0" borderId="16" xfId="0" applyNumberFormat="1" applyFont="1" applyFill="1" applyBorder="1" applyAlignment="1">
      <alignment horizontal="center" vertical="center" wrapText="1"/>
    </xf>
    <xf numFmtId="177" fontId="8" fillId="0" borderId="19" xfId="0" applyNumberFormat="1" applyFont="1" applyFill="1" applyBorder="1" applyAlignment="1">
      <alignment horizontal="center" vertical="center" wrapText="1"/>
    </xf>
    <xf numFmtId="177" fontId="8" fillId="0" borderId="35" xfId="0" applyNumberFormat="1" applyFont="1" applyFill="1" applyBorder="1" applyAlignment="1">
      <alignment horizontal="center" vertical="center" wrapText="1"/>
    </xf>
    <xf numFmtId="177" fontId="0" fillId="0" borderId="0" xfId="0" applyNumberFormat="1" applyFill="1" applyAlignment="1">
      <alignment horizontal="center" vertical="center" wrapText="1"/>
    </xf>
    <xf numFmtId="177" fontId="7" fillId="0" borderId="43"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4" fillId="0" borderId="17" xfId="0" applyFont="1" applyFill="1" applyBorder="1" applyAlignment="1">
      <alignment vertical="center" wrapText="1"/>
    </xf>
    <xf numFmtId="0" fontId="0" fillId="0" borderId="19" xfId="0" applyFill="1" applyBorder="1" applyAlignment="1">
      <alignment vertical="center"/>
    </xf>
    <xf numFmtId="0" fontId="0" fillId="0" borderId="17" xfId="0" applyFill="1" applyBorder="1" applyAlignment="1">
      <alignment vertical="center"/>
    </xf>
    <xf numFmtId="177" fontId="0" fillId="0" borderId="16" xfId="0" applyNumberFormat="1" applyFill="1" applyBorder="1" applyAlignment="1">
      <alignment vertical="center"/>
    </xf>
    <xf numFmtId="177" fontId="8" fillId="0" borderId="16" xfId="0" applyNumberFormat="1" applyFont="1" applyFill="1" applyBorder="1" applyAlignment="1">
      <alignment vertical="center"/>
    </xf>
    <xf numFmtId="177" fontId="0" fillId="0" borderId="17" xfId="0" applyNumberFormat="1" applyFill="1" applyBorder="1" applyAlignment="1">
      <alignment vertical="center" wrapText="1"/>
    </xf>
    <xf numFmtId="177" fontId="0" fillId="0" borderId="46" xfId="0" applyNumberForma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wrapText="1"/>
    </xf>
    <xf numFmtId="177" fontId="4" fillId="0" borderId="26" xfId="0" applyNumberFormat="1" applyFont="1" applyFill="1" applyBorder="1" applyAlignment="1">
      <alignment horizontal="center" vertical="center"/>
    </xf>
    <xf numFmtId="177" fontId="4" fillId="0" borderId="27" xfId="0" applyNumberFormat="1" applyFont="1" applyFill="1" applyBorder="1" applyAlignment="1">
      <alignment vertical="center" wrapText="1"/>
    </xf>
    <xf numFmtId="177" fontId="4" fillId="0" borderId="29" xfId="0" applyNumberFormat="1" applyFont="1" applyFill="1" applyBorder="1" applyAlignment="1">
      <alignment vertical="center" wrapText="1"/>
    </xf>
    <xf numFmtId="177" fontId="4" fillId="0" borderId="26" xfId="0" applyNumberFormat="1" applyFont="1" applyFill="1" applyBorder="1" applyAlignment="1">
      <alignment vertical="center"/>
    </xf>
    <xf numFmtId="0" fontId="4" fillId="0" borderId="27" xfId="0" applyFont="1" applyFill="1" applyBorder="1" applyAlignment="1">
      <alignment vertical="center" wrapText="1"/>
    </xf>
    <xf numFmtId="0" fontId="0" fillId="0" borderId="0" xfId="0" applyFont="1" applyFill="1" applyAlignment="1">
      <alignment vertical="center"/>
    </xf>
    <xf numFmtId="178" fontId="0" fillId="0" borderId="0" xfId="0" applyNumberFormat="1" applyFill="1" applyAlignment="1">
      <alignment horizontal="left" vertical="center"/>
    </xf>
    <xf numFmtId="176" fontId="0" fillId="0" borderId="0" xfId="0" applyNumberFormat="1" applyFill="1" applyAlignment="1">
      <alignment horizontal="center" vertical="center"/>
    </xf>
    <xf numFmtId="0" fontId="11" fillId="0" borderId="0" xfId="0" applyFont="1" applyFill="1" applyAlignment="1">
      <alignment vertical="center"/>
    </xf>
    <xf numFmtId="0" fontId="0" fillId="0" borderId="0" xfId="0" applyFont="1" applyFill="1" applyAlignment="1">
      <alignment horizontal="center" vertical="center"/>
    </xf>
    <xf numFmtId="0" fontId="12" fillId="0" borderId="0" xfId="0" applyNumberFormat="1" applyFont="1" applyFill="1" applyAlignment="1">
      <alignment horizontal="center" vertical="center"/>
    </xf>
    <xf numFmtId="0" fontId="11" fillId="0" borderId="48" xfId="0" applyNumberFormat="1" applyFont="1" applyFill="1" applyBorder="1" applyAlignment="1">
      <alignment horizontal="right"/>
    </xf>
    <xf numFmtId="0" fontId="11" fillId="0" borderId="48" xfId="0" applyNumberFormat="1" applyFont="1" applyFill="1" applyBorder="1" applyAlignment="1">
      <alignment horizontal="center"/>
    </xf>
    <xf numFmtId="0" fontId="13" fillId="0" borderId="36" xfId="0" applyNumberFormat="1" applyFont="1" applyFill="1" applyBorder="1" applyAlignment="1">
      <alignment horizontal="center" vertical="center" wrapText="1"/>
    </xf>
    <xf numFmtId="0" fontId="13" fillId="0" borderId="39" xfId="0" applyNumberFormat="1" applyFont="1" applyFill="1" applyBorder="1" applyAlignment="1">
      <alignment horizontal="center" vertical="center" wrapText="1"/>
    </xf>
    <xf numFmtId="176" fontId="13" fillId="0" borderId="16" xfId="0" applyNumberFormat="1" applyFont="1" applyFill="1" applyBorder="1" applyAlignment="1">
      <alignment horizontal="center" vertical="center"/>
    </xf>
    <xf numFmtId="0" fontId="13" fillId="0" borderId="49" xfId="0" applyNumberFormat="1" applyFont="1" applyFill="1" applyBorder="1" applyAlignment="1">
      <alignment horizontal="center" vertical="center" wrapText="1"/>
    </xf>
    <xf numFmtId="0" fontId="13" fillId="0" borderId="50" xfId="0" applyNumberFormat="1" applyFont="1" applyFill="1" applyBorder="1" applyAlignment="1">
      <alignment horizontal="center" vertical="center" wrapText="1"/>
    </xf>
    <xf numFmtId="176" fontId="13" fillId="0" borderId="32" xfId="0" applyNumberFormat="1" applyFont="1" applyFill="1" applyBorder="1" applyAlignment="1">
      <alignment horizontal="center" vertical="center" wrapText="1"/>
    </xf>
    <xf numFmtId="176" fontId="13" fillId="0" borderId="16" xfId="0" applyNumberFormat="1" applyFont="1" applyFill="1" applyBorder="1" applyAlignment="1">
      <alignment horizontal="center" vertical="center" wrapText="1"/>
    </xf>
    <xf numFmtId="177" fontId="13" fillId="0" borderId="1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176" fontId="13" fillId="0" borderId="40" xfId="0" applyNumberFormat="1" applyFont="1" applyFill="1" applyBorder="1" applyAlignment="1">
      <alignment horizontal="center" vertical="center" wrapText="1"/>
    </xf>
    <xf numFmtId="178" fontId="0" fillId="0" borderId="16" xfId="0" applyNumberFormat="1" applyFill="1" applyBorder="1" applyAlignment="1">
      <alignment horizontal="left" vertical="center" wrapText="1"/>
    </xf>
    <xf numFmtId="49" fontId="0" fillId="0" borderId="16" xfId="0" applyNumberFormat="1" applyFill="1" applyBorder="1" applyAlignment="1">
      <alignment vertical="center" wrapText="1"/>
    </xf>
    <xf numFmtId="176" fontId="0" fillId="0" borderId="16" xfId="0" applyNumberFormat="1" applyFill="1" applyBorder="1" applyAlignment="1">
      <alignment horizontal="center" vertical="center" wrapText="1"/>
    </xf>
    <xf numFmtId="178" fontId="0" fillId="0" borderId="16" xfId="0" applyNumberFormat="1" applyFont="1" applyFill="1" applyBorder="1" applyAlignment="1">
      <alignment horizontal="left" vertical="center" wrapText="1"/>
    </xf>
    <xf numFmtId="176" fontId="13" fillId="0" borderId="33" xfId="0" applyNumberFormat="1" applyFont="1" applyFill="1" applyBorder="1" applyAlignment="1">
      <alignment horizontal="center" vertical="center"/>
    </xf>
    <xf numFmtId="176" fontId="13" fillId="0" borderId="34" xfId="0" applyNumberFormat="1" applyFont="1" applyFill="1" applyBorder="1" applyAlignment="1">
      <alignment horizontal="center" vertical="center"/>
    </xf>
    <xf numFmtId="176" fontId="13" fillId="0" borderId="35" xfId="0" applyNumberFormat="1" applyFont="1" applyFill="1" applyBorder="1" applyAlignment="1">
      <alignment horizontal="center" vertical="center"/>
    </xf>
    <xf numFmtId="176" fontId="5" fillId="0" borderId="16" xfId="0" applyNumberFormat="1" applyFont="1" applyFill="1" applyBorder="1" applyAlignment="1" applyProtection="1">
      <alignment horizontal="center" vertical="center" wrapText="1"/>
      <protection/>
    </xf>
    <xf numFmtId="176" fontId="13" fillId="0" borderId="37" xfId="0" applyNumberFormat="1" applyFont="1" applyFill="1" applyBorder="1" applyAlignment="1">
      <alignment horizontal="center" vertical="center"/>
    </xf>
    <xf numFmtId="176" fontId="13" fillId="0" borderId="40" xfId="0" applyNumberFormat="1" applyFont="1" applyFill="1" applyBorder="1" applyAlignment="1">
      <alignment horizontal="center" vertical="center"/>
    </xf>
    <xf numFmtId="0" fontId="0" fillId="0" borderId="0" xfId="0" applyFont="1" applyFill="1" applyAlignment="1">
      <alignment vertical="center" wrapText="1"/>
    </xf>
    <xf numFmtId="0" fontId="5" fillId="0" borderId="16" xfId="0" applyNumberFormat="1" applyFont="1" applyFill="1" applyBorder="1" applyAlignment="1" applyProtection="1">
      <alignment horizontal="center" vertical="center" wrapText="1"/>
      <protection/>
    </xf>
    <xf numFmtId="176" fontId="13" fillId="0" borderId="37" xfId="0" applyNumberFormat="1" applyFont="1" applyFill="1" applyBorder="1" applyAlignment="1">
      <alignment horizontal="center" vertical="center" wrapText="1"/>
    </xf>
    <xf numFmtId="177" fontId="0" fillId="0" borderId="16" xfId="0" applyNumberFormat="1" applyFill="1" applyBorder="1" applyAlignment="1">
      <alignment vertical="center" wrapText="1"/>
    </xf>
    <xf numFmtId="178" fontId="14" fillId="0" borderId="16" xfId="0" applyNumberFormat="1" applyFont="1" applyFill="1" applyBorder="1" applyAlignment="1">
      <alignment horizontal="left" vertical="center" wrapText="1"/>
    </xf>
    <xf numFmtId="176" fontId="0" fillId="0" borderId="16" xfId="0" applyNumberFormat="1" applyFill="1" applyBorder="1" applyAlignment="1">
      <alignment horizontal="center" vertical="center"/>
    </xf>
    <xf numFmtId="0" fontId="15" fillId="0" borderId="0" xfId="0" applyFont="1" applyAlignment="1">
      <alignment vertical="center"/>
    </xf>
    <xf numFmtId="0" fontId="1" fillId="0" borderId="0" xfId="0" applyFont="1" applyFill="1" applyAlignment="1">
      <alignment vertical="center" wrapText="1"/>
    </xf>
    <xf numFmtId="0" fontId="0"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13" fillId="0" borderId="32"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center" vertical="center" shrinkToFit="1"/>
    </xf>
    <xf numFmtId="0" fontId="4" fillId="0" borderId="16" xfId="0" applyFont="1" applyFill="1" applyBorder="1" applyAlignment="1">
      <alignment vertical="center"/>
    </xf>
    <xf numFmtId="179" fontId="4" fillId="0" borderId="16" xfId="15" applyNumberFormat="1" applyFont="1" applyFill="1" applyBorder="1" applyAlignment="1">
      <alignment vertical="center"/>
    </xf>
    <xf numFmtId="41" fontId="4" fillId="0" borderId="16" xfId="0" applyNumberFormat="1" applyFont="1" applyFill="1" applyBorder="1" applyAlignment="1">
      <alignment vertical="center"/>
    </xf>
    <xf numFmtId="179" fontId="15" fillId="0" borderId="16" xfId="15" applyNumberFormat="1" applyFont="1" applyFill="1" applyBorder="1" applyAlignment="1">
      <alignment vertical="center"/>
    </xf>
    <xf numFmtId="0" fontId="4" fillId="0" borderId="16" xfId="0" applyFont="1" applyFill="1" applyBorder="1" applyAlignment="1">
      <alignment horizontal="left" vertical="center"/>
    </xf>
    <xf numFmtId="0" fontId="4" fillId="0" borderId="40" xfId="0" applyFont="1" applyFill="1" applyBorder="1" applyAlignment="1">
      <alignment horizontal="left" vertical="center"/>
    </xf>
    <xf numFmtId="179" fontId="4" fillId="0" borderId="40" xfId="15" applyNumberFormat="1" applyFont="1" applyFill="1" applyBorder="1" applyAlignment="1">
      <alignment vertical="center"/>
    </xf>
    <xf numFmtId="41" fontId="4" fillId="0" borderId="40" xfId="0" applyNumberFormat="1" applyFont="1" applyFill="1" applyBorder="1" applyAlignment="1">
      <alignment vertical="center"/>
    </xf>
    <xf numFmtId="0" fontId="15" fillId="0" borderId="0" xfId="0" applyFont="1" applyAlignment="1">
      <alignment horizontal="right" vertical="center"/>
    </xf>
    <xf numFmtId="0" fontId="4" fillId="0" borderId="40" xfId="0" applyFont="1" applyFill="1" applyBorder="1" applyAlignment="1">
      <alignment vertical="center"/>
    </xf>
    <xf numFmtId="0" fontId="16" fillId="0" borderId="0" xfId="0" applyFont="1" applyAlignment="1">
      <alignment/>
    </xf>
    <xf numFmtId="0" fontId="17" fillId="0" borderId="0" xfId="0" applyFont="1" applyAlignment="1">
      <alignment/>
    </xf>
    <xf numFmtId="0" fontId="16" fillId="0" borderId="0" xfId="0" applyFont="1" applyAlignment="1">
      <alignment horizontal="right"/>
    </xf>
    <xf numFmtId="57" fontId="16" fillId="0" borderId="0" xfId="0" applyNumberFormat="1" applyFont="1" applyAlignment="1">
      <alignment horizontal="left"/>
    </xf>
    <xf numFmtId="0" fontId="4" fillId="0" borderId="16" xfId="0" applyFont="1" applyFill="1" applyBorder="1" applyAlignment="1" quotePrefix="1">
      <alignment vertical="center"/>
    </xf>
    <xf numFmtId="0" fontId="4" fillId="0" borderId="16" xfId="0" applyFont="1" applyFill="1" applyBorder="1" applyAlignment="1" quotePrefix="1">
      <alignment horizontal="left" vertical="center"/>
    </xf>
  </cellXfs>
  <cellStyles count="350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9 4" xfId="63"/>
    <cellStyle name="常规 2 2 3 9" xfId="64"/>
    <cellStyle name="常规 39" xfId="65"/>
    <cellStyle name="常规 44" xfId="66"/>
    <cellStyle name="常规 2 2 4" xfId="67"/>
    <cellStyle name="常规 2 4 3 7" xfId="68"/>
    <cellStyle name="常规 10 43" xfId="69"/>
    <cellStyle name="常规 10 38" xfId="70"/>
    <cellStyle name="常规 2 2 40" xfId="71"/>
    <cellStyle name="常规 2 2 35" xfId="72"/>
    <cellStyle name="常规 2 2 4 31" xfId="73"/>
    <cellStyle name="常规 2 2 4 26" xfId="74"/>
    <cellStyle name="千位分隔 3 3 26" xfId="75"/>
    <cellStyle name="千位分隔 3 3 31" xfId="76"/>
    <cellStyle name="常规 3 4 3" xfId="77"/>
    <cellStyle name="常规 3 2 4 23" xfId="78"/>
    <cellStyle name="常规 3 2 4 18" xfId="79"/>
    <cellStyle name="常规 3 10 6" xfId="80"/>
    <cellStyle name="常规 2 12 9" xfId="81"/>
    <cellStyle name="常规 6 3 32" xfId="82"/>
    <cellStyle name="常规 6 3 27" xfId="83"/>
    <cellStyle name="千位分隔 4 23" xfId="84"/>
    <cellStyle name="千位分隔 4 18" xfId="85"/>
    <cellStyle name="千位分隔 11 21" xfId="86"/>
    <cellStyle name="千位分隔 11 16" xfId="87"/>
    <cellStyle name="常规 6 5" xfId="88"/>
    <cellStyle name="常规 4 4 3" xfId="89"/>
    <cellStyle name="常规 5 2" xfId="90"/>
    <cellStyle name="常规 12 35" xfId="91"/>
    <cellStyle name="常规 137" xfId="92"/>
    <cellStyle name="常规 142" xfId="93"/>
    <cellStyle name="常规 2 10 17" xfId="94"/>
    <cellStyle name="常规 2 10 22" xfId="95"/>
    <cellStyle name="常规 4 70" xfId="96"/>
    <cellStyle name="常规 4 65" xfId="97"/>
    <cellStyle name="千位分隔 4 20" xfId="98"/>
    <cellStyle name="千位分隔 4 15" xfId="99"/>
    <cellStyle name="千位分隔 4 21" xfId="100"/>
    <cellStyle name="千位分隔 4 16" xfId="101"/>
    <cellStyle name="千位分隔 4 22" xfId="102"/>
    <cellStyle name="千位分隔 4 17" xfId="103"/>
    <cellStyle name="常规 90" xfId="104"/>
    <cellStyle name="常规 85" xfId="105"/>
    <cellStyle name="常规 10 25" xfId="106"/>
    <cellStyle name="常规 10 30" xfId="107"/>
    <cellStyle name="常规 2 10 9" xfId="108"/>
    <cellStyle name="常规 2 12 29" xfId="109"/>
    <cellStyle name="常规 2 12 34" xfId="110"/>
    <cellStyle name="常规 4 50" xfId="111"/>
    <cellStyle name="常规 4 45" xfId="112"/>
    <cellStyle name="常规 13 5" xfId="113"/>
    <cellStyle name="常规 2 2 4 29" xfId="114"/>
    <cellStyle name="常规 2 2 4 34" xfId="115"/>
    <cellStyle name="常规 2 2 38" xfId="116"/>
    <cellStyle name="常规 2 2 43" xfId="117"/>
    <cellStyle name="常规 18 14" xfId="118"/>
    <cellStyle name="常规 2 2 5 22" xfId="119"/>
    <cellStyle name="常规 2 2 5 17" xfId="120"/>
    <cellStyle name="常规 2 2 4 28" xfId="121"/>
    <cellStyle name="常规 2 2 4 33" xfId="122"/>
    <cellStyle name="常规 2 2 37" xfId="123"/>
    <cellStyle name="常规 2 2 42" xfId="124"/>
    <cellStyle name="常规 2 2 28" xfId="125"/>
    <cellStyle name="常规 2 2 33" xfId="126"/>
    <cellStyle name="常规 2 2 4 19" xfId="127"/>
    <cellStyle name="常规 2 2 4 24" xfId="128"/>
    <cellStyle name="常规 3 2 4 21" xfId="129"/>
    <cellStyle name="常规 3 2 4 16" xfId="130"/>
    <cellStyle name="常规 2 6 8" xfId="131"/>
    <cellStyle name="常规 2 2 29" xfId="132"/>
    <cellStyle name="常规 2 2 34" xfId="133"/>
    <cellStyle name="常规 2 2 4 25" xfId="134"/>
    <cellStyle name="常规 2 2 4 30" xfId="135"/>
    <cellStyle name="常规 3 2 4 22" xfId="136"/>
    <cellStyle name="常规 3 2 4 17" xfId="137"/>
    <cellStyle name="常规 2 6 9" xfId="138"/>
    <cellStyle name="常规 2 2 4 27" xfId="139"/>
    <cellStyle name="常规 2 2 4 32" xfId="140"/>
    <cellStyle name="常规 3_(各股室）2015年公共财政预算支出调整明细表" xfId="141"/>
    <cellStyle name="常规 2 2 36" xfId="142"/>
    <cellStyle name="常规 2 2 41" xfId="143"/>
    <cellStyle name="常规 3 2 4 24" xfId="144"/>
    <cellStyle name="常规 3 2 4 19" xfId="145"/>
    <cellStyle name="常规 3 2 4 30" xfId="146"/>
    <cellStyle name="常规 3 2 4 25" xfId="147"/>
    <cellStyle name="常规 3 2 4 31" xfId="148"/>
    <cellStyle name="常规 3 2 4 26" xfId="149"/>
    <cellStyle name="常规 10 19" xfId="150"/>
    <cellStyle name="常规 10 24" xfId="151"/>
    <cellStyle name="常规 2 10 8" xfId="152"/>
    <cellStyle name="常规 2 12 28" xfId="153"/>
    <cellStyle name="常规 2 12 33" xfId="154"/>
    <cellStyle name="常规 3 3 32" xfId="155"/>
    <cellStyle name="常规 3 3 27" xfId="156"/>
    <cellStyle name="常规 10 11" xfId="157"/>
    <cellStyle name="常规 12" xfId="158"/>
    <cellStyle name="常规 3 2 3 30" xfId="159"/>
    <cellStyle name="常规 3 2 3 25" xfId="160"/>
    <cellStyle name="常规 16 4" xfId="161"/>
    <cellStyle name="常规 2 12 15" xfId="162"/>
    <cellStyle name="常规 2 12 20" xfId="163"/>
    <cellStyle name="常规 3 3 36" xfId="164"/>
    <cellStyle name="常规 10 20" xfId="165"/>
    <cellStyle name="常规 10 15" xfId="166"/>
    <cellStyle name="常规 21" xfId="167"/>
    <cellStyle name="常规 16" xfId="168"/>
    <cellStyle name="常规 2 10 4" xfId="169"/>
    <cellStyle name="常规 3 2 3 34" xfId="170"/>
    <cellStyle name="常规 3 2 3 29" xfId="171"/>
    <cellStyle name="常规 16 8" xfId="172"/>
    <cellStyle name="常规 2 12 19" xfId="173"/>
    <cellStyle name="常规 2 12 24" xfId="174"/>
    <cellStyle name="常规 10" xfId="175"/>
    <cellStyle name="常规 3 2 3 23" xfId="176"/>
    <cellStyle name="常规 3 2 3 18" xfId="177"/>
    <cellStyle name="常规 16 2" xfId="178"/>
    <cellStyle name="常规 2 12 13" xfId="179"/>
    <cellStyle name="常规 10 2" xfId="180"/>
    <cellStyle name="常规 3 3 31" xfId="181"/>
    <cellStyle name="常规 3 3 26" xfId="182"/>
    <cellStyle name="常规 10 10" xfId="183"/>
    <cellStyle name="常规 11" xfId="184"/>
    <cellStyle name="常规 3 2 3 24" xfId="185"/>
    <cellStyle name="常规 3 2 3 19" xfId="186"/>
    <cellStyle name="常规 16 3" xfId="187"/>
    <cellStyle name="常规 2 12 14" xfId="188"/>
    <cellStyle name="常规 3 3 33" xfId="189"/>
    <cellStyle name="常规 3 3 28" xfId="190"/>
    <cellStyle name="常规 10 12" xfId="191"/>
    <cellStyle name="常规 13" xfId="192"/>
    <cellStyle name="常规 3 2 3 31" xfId="193"/>
    <cellStyle name="常规 3 2 3 26" xfId="194"/>
    <cellStyle name="常规 16 5" xfId="195"/>
    <cellStyle name="常规 2 12 16" xfId="196"/>
    <cellStyle name="常规 2 12 21" xfId="197"/>
    <cellStyle name="常规 10 2 2" xfId="198"/>
    <cellStyle name="常规 3 3 34" xfId="199"/>
    <cellStyle name="常规 3 3 29" xfId="200"/>
    <cellStyle name="常规 10 13" xfId="201"/>
    <cellStyle name="常规 14" xfId="202"/>
    <cellStyle name="常规 2 10 2" xfId="203"/>
    <cellStyle name="常规 3 2 3 32" xfId="204"/>
    <cellStyle name="常规 3 2 3 27" xfId="205"/>
    <cellStyle name="常规 16 6" xfId="206"/>
    <cellStyle name="常规 2 12 17" xfId="207"/>
    <cellStyle name="常规 2 12 22" xfId="208"/>
    <cellStyle name="常规 3 3 35" xfId="209"/>
    <cellStyle name="常规 10 14" xfId="210"/>
    <cellStyle name="常规 20" xfId="211"/>
    <cellStyle name="常规 15" xfId="212"/>
    <cellStyle name="常规 2 10 3" xfId="213"/>
    <cellStyle name="常规 3 2 3 33" xfId="214"/>
    <cellStyle name="常规 3 2 3 28" xfId="215"/>
    <cellStyle name="常规 16 7" xfId="216"/>
    <cellStyle name="常规 2 12 18" xfId="217"/>
    <cellStyle name="常规 2 12 23" xfId="218"/>
    <cellStyle name="常规 3 3 37" xfId="219"/>
    <cellStyle name="常规 10 21" xfId="220"/>
    <cellStyle name="常规 10 16" xfId="221"/>
    <cellStyle name="常规 22" xfId="222"/>
    <cellStyle name="常规 17" xfId="223"/>
    <cellStyle name="常规 2 10 5" xfId="224"/>
    <cellStyle name="常规 3 2 3 35" xfId="225"/>
    <cellStyle name="常规 16 9" xfId="226"/>
    <cellStyle name="常规 2 12 25" xfId="227"/>
    <cellStyle name="常规 2 12 30" xfId="228"/>
    <cellStyle name="常规 3 3 38" xfId="229"/>
    <cellStyle name="常规 10 22" xfId="230"/>
    <cellStyle name="常规 10 17" xfId="231"/>
    <cellStyle name="常规 23" xfId="232"/>
    <cellStyle name="常规 18" xfId="233"/>
    <cellStyle name="常规 2 10 6" xfId="234"/>
    <cellStyle name="常规 3 2 3 36" xfId="235"/>
    <cellStyle name="常规 2 12 26" xfId="236"/>
    <cellStyle name="常规 2 12 31" xfId="237"/>
    <cellStyle name="常规 10 18" xfId="238"/>
    <cellStyle name="常规 10 23" xfId="239"/>
    <cellStyle name="常规 24" xfId="240"/>
    <cellStyle name="常规 19" xfId="241"/>
    <cellStyle name="常规 2 10 7" xfId="242"/>
    <cellStyle name="常规 2 12 27" xfId="243"/>
    <cellStyle name="常规 2 12 32" xfId="244"/>
    <cellStyle name="常规 10 26" xfId="245"/>
    <cellStyle name="常规 10 31" xfId="246"/>
    <cellStyle name="常规 2 12 35" xfId="247"/>
    <cellStyle name="常规 10 27" xfId="248"/>
    <cellStyle name="常规 10 32" xfId="249"/>
    <cellStyle name="常规 2 12 36" xfId="250"/>
    <cellStyle name="常规 10 28" xfId="251"/>
    <cellStyle name="常规 10 33" xfId="252"/>
    <cellStyle name="常规 10 29" xfId="253"/>
    <cellStyle name="常规 10 34" xfId="254"/>
    <cellStyle name="常规 10 3" xfId="255"/>
    <cellStyle name="常规 10 35" xfId="256"/>
    <cellStyle name="常规 10 40" xfId="257"/>
    <cellStyle name="常规 10 36" xfId="258"/>
    <cellStyle name="常规 10 41" xfId="259"/>
    <cellStyle name="常规 2 4 3 5" xfId="260"/>
    <cellStyle name="常规 2 2 2" xfId="261"/>
    <cellStyle name="常规 10 37" xfId="262"/>
    <cellStyle name="常规 10 42" xfId="263"/>
    <cellStyle name="常规 2 4 3 6" xfId="264"/>
    <cellStyle name="常规 2 2 3" xfId="265"/>
    <cellStyle name="常规 10 39" xfId="266"/>
    <cellStyle name="常规 10 44" xfId="267"/>
    <cellStyle name="常规 2 4 3 8" xfId="268"/>
    <cellStyle name="常规 2 2 5" xfId="269"/>
    <cellStyle name="常规 10 4" xfId="270"/>
    <cellStyle name="常规 10 45" xfId="271"/>
    <cellStyle name="常规 10 50" xfId="272"/>
    <cellStyle name="常规 10 46" xfId="273"/>
    <cellStyle name="常规 10 51" xfId="274"/>
    <cellStyle name="常规 10 47" xfId="275"/>
    <cellStyle name="常规 10 52" xfId="276"/>
    <cellStyle name="常规 10 48" xfId="277"/>
    <cellStyle name="常规 10 53" xfId="278"/>
    <cellStyle name="常规 10 49" xfId="279"/>
    <cellStyle name="常规 10 54" xfId="280"/>
    <cellStyle name="常规 10 5" xfId="281"/>
    <cellStyle name="常规 10 55" xfId="282"/>
    <cellStyle name="常规 10 60" xfId="283"/>
    <cellStyle name="常规 10 56" xfId="284"/>
    <cellStyle name="常规 10 61" xfId="285"/>
    <cellStyle name="常规 10 57" xfId="286"/>
    <cellStyle name="常规 10 62" xfId="287"/>
    <cellStyle name="常规 10 58" xfId="288"/>
    <cellStyle name="常规 10 63" xfId="289"/>
    <cellStyle name="常规 2 11 2" xfId="290"/>
    <cellStyle name="常规 10 59" xfId="291"/>
    <cellStyle name="常规 10 64" xfId="292"/>
    <cellStyle name="常规 2 11 3" xfId="293"/>
    <cellStyle name="常规 10 6" xfId="294"/>
    <cellStyle name="常规 10 7" xfId="295"/>
    <cellStyle name="常规 10 8" xfId="296"/>
    <cellStyle name="常规 10 9" xfId="297"/>
    <cellStyle name="常规 4 5" xfId="298"/>
    <cellStyle name="常规 100" xfId="299"/>
    <cellStyle name="常规 3 9 36" xfId="300"/>
    <cellStyle name="常规 16 15" xfId="301"/>
    <cellStyle name="常规 16 20" xfId="302"/>
    <cellStyle name="常规 4 6" xfId="303"/>
    <cellStyle name="常规 101" xfId="304"/>
    <cellStyle name="常规 16 16" xfId="305"/>
    <cellStyle name="常规 16 21" xfId="306"/>
    <cellStyle name="常规 4 7" xfId="307"/>
    <cellStyle name="常规 102" xfId="308"/>
    <cellStyle name="常规 16 17" xfId="309"/>
    <cellStyle name="常规 16 22" xfId="310"/>
    <cellStyle name="常规 4 8" xfId="311"/>
    <cellStyle name="常规 103" xfId="312"/>
    <cellStyle name="常规 16 18" xfId="313"/>
    <cellStyle name="常规 16 23" xfId="314"/>
    <cellStyle name="常规 4 9" xfId="315"/>
    <cellStyle name="常规 104" xfId="316"/>
    <cellStyle name="常规 16 19" xfId="317"/>
    <cellStyle name="常规 105" xfId="318"/>
    <cellStyle name="常规 110" xfId="319"/>
    <cellStyle name="常规 106" xfId="320"/>
    <cellStyle name="常规 111" xfId="321"/>
    <cellStyle name="常规 107" xfId="322"/>
    <cellStyle name="常规 112" xfId="323"/>
    <cellStyle name="常规 12 10" xfId="324"/>
    <cellStyle name="常规 108" xfId="325"/>
    <cellStyle name="常规 113" xfId="326"/>
    <cellStyle name="常规 12 11" xfId="327"/>
    <cellStyle name="常规 109" xfId="328"/>
    <cellStyle name="常规 114" xfId="329"/>
    <cellStyle name="常规 12 12" xfId="330"/>
    <cellStyle name="常规 115" xfId="331"/>
    <cellStyle name="常规 12 13" xfId="332"/>
    <cellStyle name="常规 120" xfId="333"/>
    <cellStyle name="常规 116" xfId="334"/>
    <cellStyle name="常规 12 14" xfId="335"/>
    <cellStyle name="常规 121" xfId="336"/>
    <cellStyle name="常规 117" xfId="337"/>
    <cellStyle name="常规 12 15" xfId="338"/>
    <cellStyle name="常规 12 20" xfId="339"/>
    <cellStyle name="常规 122" xfId="340"/>
    <cellStyle name="常规 118" xfId="341"/>
    <cellStyle name="常规 12 16" xfId="342"/>
    <cellStyle name="常规 12 21" xfId="343"/>
    <cellStyle name="常规 123" xfId="344"/>
    <cellStyle name="常规 119" xfId="345"/>
    <cellStyle name="常规 12 17" xfId="346"/>
    <cellStyle name="常规 12 22" xfId="347"/>
    <cellStyle name="常规 124" xfId="348"/>
    <cellStyle name="常规 12 18" xfId="349"/>
    <cellStyle name="常规 12 23" xfId="350"/>
    <cellStyle name="常规 125" xfId="351"/>
    <cellStyle name="常规 130" xfId="352"/>
    <cellStyle name="常规 2 10 10" xfId="353"/>
    <cellStyle name="常规 12 19" xfId="354"/>
    <cellStyle name="常规 12 24" xfId="355"/>
    <cellStyle name="常规 126" xfId="356"/>
    <cellStyle name="常规 131" xfId="357"/>
    <cellStyle name="常规 2 10 11" xfId="358"/>
    <cellStyle name="常规 12 2" xfId="359"/>
    <cellStyle name="常规 12 25" xfId="360"/>
    <cellStyle name="常规 12 30" xfId="361"/>
    <cellStyle name="常规 127" xfId="362"/>
    <cellStyle name="常规 132" xfId="363"/>
    <cellStyle name="常规 2 10 12" xfId="364"/>
    <cellStyle name="常规 12 26" xfId="365"/>
    <cellStyle name="常规 12 31" xfId="366"/>
    <cellStyle name="常规 128" xfId="367"/>
    <cellStyle name="常规 133" xfId="368"/>
    <cellStyle name="常规 2 10 13" xfId="369"/>
    <cellStyle name="常规 12 27" xfId="370"/>
    <cellStyle name="常规 12 32" xfId="371"/>
    <cellStyle name="常规 129" xfId="372"/>
    <cellStyle name="常规 134" xfId="373"/>
    <cellStyle name="常规 2 10 14" xfId="374"/>
    <cellStyle name="常规 12 28" xfId="375"/>
    <cellStyle name="常规 12 33" xfId="376"/>
    <cellStyle name="常规 135" xfId="377"/>
    <cellStyle name="常规 140" xfId="378"/>
    <cellStyle name="常规 2 10 15" xfId="379"/>
    <cellStyle name="常规 2 10 20" xfId="380"/>
    <cellStyle name="常规 12 29" xfId="381"/>
    <cellStyle name="常规 12 34" xfId="382"/>
    <cellStyle name="常规 136" xfId="383"/>
    <cellStyle name="常规 141" xfId="384"/>
    <cellStyle name="常规 2 10 16" xfId="385"/>
    <cellStyle name="常规 2 10 21" xfId="386"/>
    <cellStyle name="常规 12 3" xfId="387"/>
    <cellStyle name="常规 5 3" xfId="388"/>
    <cellStyle name="常规 12 36" xfId="389"/>
    <cellStyle name="常规 138" xfId="390"/>
    <cellStyle name="常规 143" xfId="391"/>
    <cellStyle name="常规 2 10 18" xfId="392"/>
    <cellStyle name="常规 2 10 23" xfId="393"/>
    <cellStyle name="常规 12 4" xfId="394"/>
    <cellStyle name="常规 12 5" xfId="395"/>
    <cellStyle name="常规 12 6" xfId="396"/>
    <cellStyle name="常规 12 7" xfId="397"/>
    <cellStyle name="常规 12 8" xfId="398"/>
    <cellStyle name="常规 12 9" xfId="399"/>
    <cellStyle name="常规 3 6 31" xfId="400"/>
    <cellStyle name="常规 3 6 26" xfId="401"/>
    <cellStyle name="常规 13 10" xfId="402"/>
    <cellStyle name="常规 3 6 32" xfId="403"/>
    <cellStyle name="常规 3 6 27" xfId="404"/>
    <cellStyle name="常规 13 11" xfId="405"/>
    <cellStyle name="常规 3 6 33" xfId="406"/>
    <cellStyle name="常规 3 6 28" xfId="407"/>
    <cellStyle name="常规 13 12" xfId="408"/>
    <cellStyle name="常规 3 6 34" xfId="409"/>
    <cellStyle name="常规 3 6 29" xfId="410"/>
    <cellStyle name="常规 13 13" xfId="411"/>
    <cellStyle name="常规 3 6 35" xfId="412"/>
    <cellStyle name="常规 13 14" xfId="413"/>
    <cellStyle name="常规 3 6 36" xfId="414"/>
    <cellStyle name="常规 13 15" xfId="415"/>
    <cellStyle name="常规 13 20" xfId="416"/>
    <cellStyle name="常规 13 16" xfId="417"/>
    <cellStyle name="常规 13 21" xfId="418"/>
    <cellStyle name="常规 13 17" xfId="419"/>
    <cellStyle name="常规 13 22" xfId="420"/>
    <cellStyle name="常规 13 18" xfId="421"/>
    <cellStyle name="常规 13 23" xfId="422"/>
    <cellStyle name="常规 2 11 10" xfId="423"/>
    <cellStyle name="常规 13 19" xfId="424"/>
    <cellStyle name="常规 2 11 11" xfId="425"/>
    <cellStyle name="常规 4 42" xfId="426"/>
    <cellStyle name="常规 4 37" xfId="427"/>
    <cellStyle name="常规 13 2" xfId="428"/>
    <cellStyle name="常规 4 43" xfId="429"/>
    <cellStyle name="常规 4 38" xfId="430"/>
    <cellStyle name="常规 13 3" xfId="431"/>
    <cellStyle name="常规 4 44" xfId="432"/>
    <cellStyle name="常规 4 39" xfId="433"/>
    <cellStyle name="常规 13 4" xfId="434"/>
    <cellStyle name="常规 4 51" xfId="435"/>
    <cellStyle name="常规 4 46" xfId="436"/>
    <cellStyle name="常规 13 6" xfId="437"/>
    <cellStyle name="常规 4 52" xfId="438"/>
    <cellStyle name="常规 4 47" xfId="439"/>
    <cellStyle name="常规 13 7" xfId="440"/>
    <cellStyle name="常规 4 53" xfId="441"/>
    <cellStyle name="常规 4 48" xfId="442"/>
    <cellStyle name="常规 13 8" xfId="443"/>
    <cellStyle name="常规 4 54" xfId="444"/>
    <cellStyle name="常规 4 49" xfId="445"/>
    <cellStyle name="常规 13 9" xfId="446"/>
    <cellStyle name="常规 5 4" xfId="447"/>
    <cellStyle name="常规 4 3 2" xfId="448"/>
    <cellStyle name="常规 139" xfId="449"/>
    <cellStyle name="常规 2 10 19" xfId="450"/>
    <cellStyle name="常规 2 10 24" xfId="451"/>
    <cellStyle name="常规 5 6" xfId="452"/>
    <cellStyle name="常规 4 3 4" xfId="453"/>
    <cellStyle name="常规 146" xfId="454"/>
    <cellStyle name="常规 2 10 26" xfId="455"/>
    <cellStyle name="常规 2 10 31" xfId="456"/>
    <cellStyle name="常规 5 7" xfId="457"/>
    <cellStyle name="常规 4 3 5" xfId="458"/>
    <cellStyle name="常规 147" xfId="459"/>
    <cellStyle name="常规 2 10 27" xfId="460"/>
    <cellStyle name="常规 2 10 32" xfId="461"/>
    <cellStyle name="常规 3 9 31" xfId="462"/>
    <cellStyle name="常规 3 9 26" xfId="463"/>
    <cellStyle name="常规 16 10" xfId="464"/>
    <cellStyle name="常规 3 9 32" xfId="465"/>
    <cellStyle name="常规 3 9 27" xfId="466"/>
    <cellStyle name="常规 16 11" xfId="467"/>
    <cellStyle name="常规 3 9 33" xfId="468"/>
    <cellStyle name="常规 3 9 28" xfId="469"/>
    <cellStyle name="常规 16 12" xfId="470"/>
    <cellStyle name="常规 3 9 34" xfId="471"/>
    <cellStyle name="常规 3 9 29" xfId="472"/>
    <cellStyle name="常规 16 13" xfId="473"/>
    <cellStyle name="常规 3 9 35" xfId="474"/>
    <cellStyle name="常规 16 14" xfId="475"/>
    <cellStyle name="常规 18 10" xfId="476"/>
    <cellStyle name="常规 18 11" xfId="477"/>
    <cellStyle name="常规 18 12" xfId="478"/>
    <cellStyle name="常规 18 13" xfId="479"/>
    <cellStyle name="常规 18 15" xfId="480"/>
    <cellStyle name="常规 18 20" xfId="481"/>
    <cellStyle name="常规 18 16" xfId="482"/>
    <cellStyle name="常规 18 21" xfId="483"/>
    <cellStyle name="常规 18 17" xfId="484"/>
    <cellStyle name="常规 18 22" xfId="485"/>
    <cellStyle name="常规 18 18" xfId="486"/>
    <cellStyle name="常规 18 23" xfId="487"/>
    <cellStyle name="常规 18 19" xfId="488"/>
    <cellStyle name="常规 18 24" xfId="489"/>
    <cellStyle name="常规 5 42" xfId="490"/>
    <cellStyle name="常规 5 37" xfId="491"/>
    <cellStyle name="常规 4 3 22" xfId="492"/>
    <cellStyle name="常规 4 3 17" xfId="493"/>
    <cellStyle name="常规 18 2" xfId="494"/>
    <cellStyle name="常规 18 25" xfId="495"/>
    <cellStyle name="常规 18 30" xfId="496"/>
    <cellStyle name="常规 18 26" xfId="497"/>
    <cellStyle name="常规 18 31" xfId="498"/>
    <cellStyle name="常规 18 27" xfId="499"/>
    <cellStyle name="常规 18 32" xfId="500"/>
    <cellStyle name="常规 18 28" xfId="501"/>
    <cellStyle name="常规 18 33" xfId="502"/>
    <cellStyle name="常规 18 29" xfId="503"/>
    <cellStyle name="常规 18 34" xfId="504"/>
    <cellStyle name="常规 5 43" xfId="505"/>
    <cellStyle name="常规 5 38" xfId="506"/>
    <cellStyle name="常规 4 3 23" xfId="507"/>
    <cellStyle name="常规 4 3 18" xfId="508"/>
    <cellStyle name="常规 18 3" xfId="509"/>
    <cellStyle name="常规 18 35" xfId="510"/>
    <cellStyle name="常规 18 36" xfId="511"/>
    <cellStyle name="常规 5 44" xfId="512"/>
    <cellStyle name="常规 5 39" xfId="513"/>
    <cellStyle name="常规 4 3 24" xfId="514"/>
    <cellStyle name="常规 4 3 19" xfId="515"/>
    <cellStyle name="常规 18 4" xfId="516"/>
    <cellStyle name="常规 5 50" xfId="517"/>
    <cellStyle name="常规 5 45" xfId="518"/>
    <cellStyle name="常规 4 3 30" xfId="519"/>
    <cellStyle name="常规 4 3 25" xfId="520"/>
    <cellStyle name="常规 18 5" xfId="521"/>
    <cellStyle name="常规 18 6" xfId="522"/>
    <cellStyle name="常规 4 3 26" xfId="523"/>
    <cellStyle name="常规 5 51" xfId="524"/>
    <cellStyle name="常规 5 46" xfId="525"/>
    <cellStyle name="常规 4 3 31" xfId="526"/>
    <cellStyle name="常规 3 2 3 3" xfId="527"/>
    <cellStyle name="常规 2 12 2" xfId="528"/>
    <cellStyle name="常规 2 12 3" xfId="529"/>
    <cellStyle name="常规 3 2 3 4" xfId="530"/>
    <cellStyle name="常规 18 7" xfId="531"/>
    <cellStyle name="常规 4 3 27" xfId="532"/>
    <cellStyle name="常规 4 3 32" xfId="533"/>
    <cellStyle name="常规 5 47" xfId="534"/>
    <cellStyle name="常规 5 52" xfId="535"/>
    <cellStyle name="常规 2 12 4" xfId="536"/>
    <cellStyle name="常规 3 2 3 5" xfId="537"/>
    <cellStyle name="常规 18 8" xfId="538"/>
    <cellStyle name="常规 4 3 28" xfId="539"/>
    <cellStyle name="常规 4 3 33" xfId="540"/>
    <cellStyle name="常规 5 48" xfId="541"/>
    <cellStyle name="常规 5 53" xfId="542"/>
    <cellStyle name="常规 2 12 5" xfId="543"/>
    <cellStyle name="常规 3 2 3 6" xfId="544"/>
    <cellStyle name="常规 18 9" xfId="545"/>
    <cellStyle name="常规 4 3 29" xfId="546"/>
    <cellStyle name="常规 4 3 34" xfId="547"/>
    <cellStyle name="常规 5 49" xfId="548"/>
    <cellStyle name="常规 5 54" xfId="549"/>
    <cellStyle name="常规 2" xfId="550"/>
    <cellStyle name="常规 2 10" xfId="551"/>
    <cellStyle name="常规 2 10 30" xfId="552"/>
    <cellStyle name="常规 2 10 25" xfId="553"/>
    <cellStyle name="常规 2 10 33" xfId="554"/>
    <cellStyle name="常规 2 10 28" xfId="555"/>
    <cellStyle name="常规 2 10 34" xfId="556"/>
    <cellStyle name="常规 2 10 29" xfId="557"/>
    <cellStyle name="常规 2 10 35" xfId="558"/>
    <cellStyle name="常规 2 10 36" xfId="559"/>
    <cellStyle name="常规 2 11" xfId="560"/>
    <cellStyle name="常规 2 11 12" xfId="561"/>
    <cellStyle name="常规 2 11 13" xfId="562"/>
    <cellStyle name="常规 2 11 14" xfId="563"/>
    <cellStyle name="常规 2 11 20" xfId="564"/>
    <cellStyle name="常规 2 11 15" xfId="565"/>
    <cellStyle name="常规 2 11 21" xfId="566"/>
    <cellStyle name="常规 2 11 16" xfId="567"/>
    <cellStyle name="常规 2 11 22" xfId="568"/>
    <cellStyle name="常规 2 11 17" xfId="569"/>
    <cellStyle name="常规 2 11 23" xfId="570"/>
    <cellStyle name="常规 2 11 18" xfId="571"/>
    <cellStyle name="常规 2 11 24" xfId="572"/>
    <cellStyle name="常规 2 11 19" xfId="573"/>
    <cellStyle name="常规 2 11 30" xfId="574"/>
    <cellStyle name="常规 2 11 25" xfId="575"/>
    <cellStyle name="千位分隔 5 3 10" xfId="576"/>
    <cellStyle name="常规 2 11 31" xfId="577"/>
    <cellStyle name="常规 2 11 26" xfId="578"/>
    <cellStyle name="千位分隔 5 3 11" xfId="579"/>
    <cellStyle name="常规 2 11 32" xfId="580"/>
    <cellStyle name="常规 2 11 27" xfId="581"/>
    <cellStyle name="千位分隔 5 3 12" xfId="582"/>
    <cellStyle name="常规 2 11 33" xfId="583"/>
    <cellStyle name="常规 2 11 28" xfId="584"/>
    <cellStyle name="千位分隔 5 3 13" xfId="585"/>
    <cellStyle name="常规 2 11 34" xfId="586"/>
    <cellStyle name="常规 2 11 29" xfId="587"/>
    <cellStyle name="千位分隔 5 3 14" xfId="588"/>
    <cellStyle name="常规 2 11 35" xfId="589"/>
    <cellStyle name="千位分隔 5 3 15" xfId="590"/>
    <cellStyle name="千位分隔 5 3 20" xfId="591"/>
    <cellStyle name="常规 2 11 36" xfId="592"/>
    <cellStyle name="千位分隔 5 3 16" xfId="593"/>
    <cellStyle name="千位分隔 5 3 21" xfId="594"/>
    <cellStyle name="常规 2 11 4" xfId="595"/>
    <cellStyle name="千位分隔 5 3 2" xfId="596"/>
    <cellStyle name="常规 2 11 5" xfId="597"/>
    <cellStyle name="千位分隔 5 3 3" xfId="598"/>
    <cellStyle name="常规 2 11 6" xfId="599"/>
    <cellStyle name="千位分隔 5 3 4" xfId="600"/>
    <cellStyle name="常规 2 11 7" xfId="601"/>
    <cellStyle name="千位分隔 5 3 5" xfId="602"/>
    <cellStyle name="常规 2 11 8" xfId="603"/>
    <cellStyle name="千位分隔 5 3 6" xfId="604"/>
    <cellStyle name="常规 2 11 9" xfId="605"/>
    <cellStyle name="千位分隔 5 3 7" xfId="606"/>
    <cellStyle name="常规 2 12" xfId="607"/>
    <cellStyle name="常规 2 12 10" xfId="608"/>
    <cellStyle name="常规 3 2 3 15" xfId="609"/>
    <cellStyle name="常规 3 2 3 20" xfId="610"/>
    <cellStyle name="常规 2 12 11" xfId="611"/>
    <cellStyle name="常规 3 2 3 16" xfId="612"/>
    <cellStyle name="常规 3 2 3 21" xfId="613"/>
    <cellStyle name="常规 2 12 12" xfId="614"/>
    <cellStyle name="常规 3 2 3 17" xfId="615"/>
    <cellStyle name="常规 3 2 3 22" xfId="616"/>
    <cellStyle name="常规 2 12 6" xfId="617"/>
    <cellStyle name="常规 3 2 3 7" xfId="618"/>
    <cellStyle name="常规 2 12 7" xfId="619"/>
    <cellStyle name="常规 3 2 3 8" xfId="620"/>
    <cellStyle name="常规 2 12 8" xfId="621"/>
    <cellStyle name="常规 3 2 3 9" xfId="622"/>
    <cellStyle name="常规 2 2" xfId="623"/>
    <cellStyle name="常规 2 2 10" xfId="624"/>
    <cellStyle name="常规 2 4 3 35" xfId="625"/>
    <cellStyle name="常规 2 2 4 2" xfId="626"/>
    <cellStyle name="常规 2 2 11" xfId="627"/>
    <cellStyle name="常规 2 4 3 36" xfId="628"/>
    <cellStyle name="常规 2 2 4 3" xfId="629"/>
    <cellStyle name="常规 2 2 12" xfId="630"/>
    <cellStyle name="常规 2 2 4 4" xfId="631"/>
    <cellStyle name="常规 2 2 13" xfId="632"/>
    <cellStyle name="千位分隔 8 2" xfId="633"/>
    <cellStyle name="常规 2 2 4 5" xfId="634"/>
    <cellStyle name="常规 2 2 4 10" xfId="635"/>
    <cellStyle name="常规 3 68" xfId="636"/>
    <cellStyle name="常规 3 73" xfId="637"/>
    <cellStyle name="常规 2 2 14" xfId="638"/>
    <cellStyle name="千位分隔 8 3" xfId="639"/>
    <cellStyle name="常规 2 2 4 6" xfId="640"/>
    <cellStyle name="常规 2 2 4 11" xfId="641"/>
    <cellStyle name="常规 3 69" xfId="642"/>
    <cellStyle name="常规 3 74" xfId="643"/>
    <cellStyle name="常规 2 2 20" xfId="644"/>
    <cellStyle name="常规 2 2 15" xfId="645"/>
    <cellStyle name="千位分隔 8 4" xfId="646"/>
    <cellStyle name="常规 2 2 4 7" xfId="647"/>
    <cellStyle name="常规 2 2 4 12" xfId="648"/>
    <cellStyle name="常规 2 2 21" xfId="649"/>
    <cellStyle name="常规 2 2 16" xfId="650"/>
    <cellStyle name="千位分隔 8 5" xfId="651"/>
    <cellStyle name="常规 2 2 4 8" xfId="652"/>
    <cellStyle name="常规 2 2 4 13" xfId="653"/>
    <cellStyle name="常规 2 2 22" xfId="654"/>
    <cellStyle name="常规 2 2 17" xfId="655"/>
    <cellStyle name="千位分隔 8 6" xfId="656"/>
    <cellStyle name="常规 2 2 4 9" xfId="657"/>
    <cellStyle name="常规 2 2 4 14" xfId="658"/>
    <cellStyle name="常规 2 2 23" xfId="659"/>
    <cellStyle name="常规 2 2 18" xfId="660"/>
    <cellStyle name="千位分隔 8 7" xfId="661"/>
    <cellStyle name="常规 2 2 4 20" xfId="662"/>
    <cellStyle name="常规 2 2 4 15" xfId="663"/>
    <cellStyle name="常规 2 2 24" xfId="664"/>
    <cellStyle name="常规 2 2 19" xfId="665"/>
    <cellStyle name="千位分隔 8 8" xfId="666"/>
    <cellStyle name="常规 2 2 4 21" xfId="667"/>
    <cellStyle name="常规 2 2 4 16" xfId="668"/>
    <cellStyle name="常规 2 2 30" xfId="669"/>
    <cellStyle name="常规 2 2 25" xfId="670"/>
    <cellStyle name="千位分隔 8 9" xfId="671"/>
    <cellStyle name="常规 2 2 4 22" xfId="672"/>
    <cellStyle name="常规 2 2 4 17" xfId="673"/>
    <cellStyle name="常规 2 2 31" xfId="674"/>
    <cellStyle name="常规 2 2 26" xfId="675"/>
    <cellStyle name="常规 2 2 4 23" xfId="676"/>
    <cellStyle name="常规 2 2 4 18" xfId="677"/>
    <cellStyle name="常规 2 2 32" xfId="678"/>
    <cellStyle name="常规 2 2 27" xfId="679"/>
    <cellStyle name="常规 2 2 3 10" xfId="680"/>
    <cellStyle name="常规 2 2 3 11" xfId="681"/>
    <cellStyle name="常规 2 2 3 12" xfId="682"/>
    <cellStyle name="常规 2 2 3 13" xfId="683"/>
    <cellStyle name="常规 2 2 3 14" xfId="684"/>
    <cellStyle name="常规 2 2 3 20" xfId="685"/>
    <cellStyle name="常规 2 2 3 15" xfId="686"/>
    <cellStyle name="常规 2 2 3 21" xfId="687"/>
    <cellStyle name="常规 2 2 3 16" xfId="688"/>
    <cellStyle name="常规 2 2 3 22" xfId="689"/>
    <cellStyle name="常规 2 2 3 17" xfId="690"/>
    <cellStyle name="常规 2 2 3 23" xfId="691"/>
    <cellStyle name="常规 2 2 3 18" xfId="692"/>
    <cellStyle name="常规 2 2 3 24" xfId="693"/>
    <cellStyle name="常规 2 2 3 19" xfId="694"/>
    <cellStyle name="常规 2 2 3 2" xfId="695"/>
    <cellStyle name="常规 2 2 3 30" xfId="696"/>
    <cellStyle name="常规 2 2 3 25" xfId="697"/>
    <cellStyle name="常规 2 2 3 31" xfId="698"/>
    <cellStyle name="常规 2 2 3 26" xfId="699"/>
    <cellStyle name="常规 2 2 3 32" xfId="700"/>
    <cellStyle name="常规 2 2 3 27" xfId="701"/>
    <cellStyle name="常规 2 2 3 33" xfId="702"/>
    <cellStyle name="常规 2 2 3 28" xfId="703"/>
    <cellStyle name="常规 2 2 3 34" xfId="704"/>
    <cellStyle name="常规 2 2 3 29" xfId="705"/>
    <cellStyle name="常规 2 2 3 3" xfId="706"/>
    <cellStyle name="常规 2 2 3 35" xfId="707"/>
    <cellStyle name="常规 2 2 3 36" xfId="708"/>
    <cellStyle name="常规 2 2 3 4" xfId="709"/>
    <cellStyle name="常规 2 2 3 5" xfId="710"/>
    <cellStyle name="常规 2 2 3 6" xfId="711"/>
    <cellStyle name="常规 2 2 3 7" xfId="712"/>
    <cellStyle name="常规 2 2 3 8" xfId="713"/>
    <cellStyle name="常规 2 2 44" xfId="714"/>
    <cellStyle name="常规 2 2 39" xfId="715"/>
    <cellStyle name="常规 2 2 4 35" xfId="716"/>
    <cellStyle name="常规 2 2 45" xfId="717"/>
    <cellStyle name="常规 2 2 50" xfId="718"/>
    <cellStyle name="常规 2 2 4 36" xfId="719"/>
    <cellStyle name="常规 2 2 46" xfId="720"/>
    <cellStyle name="常规 2 2 51" xfId="721"/>
    <cellStyle name="常规 2 2 47" xfId="722"/>
    <cellStyle name="常规 2 2 52" xfId="723"/>
    <cellStyle name="常规 2 2 48" xfId="724"/>
    <cellStyle name="常规 2 2 53" xfId="725"/>
    <cellStyle name="常规 2 2 49" xfId="726"/>
    <cellStyle name="常规 2 2 54" xfId="727"/>
    <cellStyle name="常规 2 2 5 10" xfId="728"/>
    <cellStyle name="常规 4 68" xfId="729"/>
    <cellStyle name="常规 2 2 5 11" xfId="730"/>
    <cellStyle name="常规 4 69" xfId="731"/>
    <cellStyle name="常规 2 2 5 12" xfId="732"/>
    <cellStyle name="常规 2 2 5 13" xfId="733"/>
    <cellStyle name="常规 2 2 5 14" xfId="734"/>
    <cellStyle name="常规 2 2 5 15" xfId="735"/>
    <cellStyle name="常规 2 2 5 20" xfId="736"/>
    <cellStyle name="常规 2 2 5 16" xfId="737"/>
    <cellStyle name="常规 2 2 5 21" xfId="738"/>
    <cellStyle name="常规 2 2 5 18" xfId="739"/>
    <cellStyle name="常规 2 2 5 23" xfId="740"/>
    <cellStyle name="常规 2 2 5 19" xfId="741"/>
    <cellStyle name="常规 2 2 5 24" xfId="742"/>
    <cellStyle name="常规 2 2 5 2" xfId="743"/>
    <cellStyle name="常规 2 2 5 25" xfId="744"/>
    <cellStyle name="常规 2 2 5 30" xfId="745"/>
    <cellStyle name="常规 2 2 5 26" xfId="746"/>
    <cellStyle name="常规 2 2 5 31" xfId="747"/>
    <cellStyle name="常规 2 2 5 27" xfId="748"/>
    <cellStyle name="常规 2 2 5 32" xfId="749"/>
    <cellStyle name="常规 2 2 5 28" xfId="750"/>
    <cellStyle name="常规 2 2 5 33" xfId="751"/>
    <cellStyle name="常规 2 2 5 29" xfId="752"/>
    <cellStyle name="常规 2 2 5 34" xfId="753"/>
    <cellStyle name="常规 2 2 5 3" xfId="754"/>
    <cellStyle name="常规 2 2 5 35" xfId="755"/>
    <cellStyle name="常规 2 2 5 36" xfId="756"/>
    <cellStyle name="常规 2 2 5 4" xfId="757"/>
    <cellStyle name="常规 2 2 5 5" xfId="758"/>
    <cellStyle name="常规 2 2 5 6" xfId="759"/>
    <cellStyle name="常规 2 2 5 7" xfId="760"/>
    <cellStyle name="常规 2 2 5 8" xfId="761"/>
    <cellStyle name="常规 2 2 5 9" xfId="762"/>
    <cellStyle name="常规 2 2 55" xfId="763"/>
    <cellStyle name="常规 2 2 60" xfId="764"/>
    <cellStyle name="常规 2 2 56" xfId="765"/>
    <cellStyle name="常规 2 2 61" xfId="766"/>
    <cellStyle name="常规 2 2 57" xfId="767"/>
    <cellStyle name="常规 2 2 62" xfId="768"/>
    <cellStyle name="常规 2 2 58" xfId="769"/>
    <cellStyle name="常规 2 2 63" xfId="770"/>
    <cellStyle name="常规 2 2 59" xfId="771"/>
    <cellStyle name="常规 2 2 64" xfId="772"/>
    <cellStyle name="常规 2 2 6" xfId="773"/>
    <cellStyle name="常规 2 4 3 9" xfId="774"/>
    <cellStyle name="常规 2 2 6 10" xfId="775"/>
    <cellStyle name="常规 2 2 6 11" xfId="776"/>
    <cellStyle name="常规 2 4 2" xfId="777"/>
    <cellStyle name="常规 2 2 6 12" xfId="778"/>
    <cellStyle name="常规 2 4 3" xfId="779"/>
    <cellStyle name="常规 2 2 6 13" xfId="780"/>
    <cellStyle name="常规 2 4 4" xfId="781"/>
    <cellStyle name="常规 2 2 6 14" xfId="782"/>
    <cellStyle name="常规 2 4 5" xfId="783"/>
    <cellStyle name="常规 2 2 6 15" xfId="784"/>
    <cellStyle name="常规 2 2 6 20" xfId="785"/>
    <cellStyle name="常规 2 4 6" xfId="786"/>
    <cellStyle name="常规 2 2 6 16" xfId="787"/>
    <cellStyle name="常规 2 2 6 21" xfId="788"/>
    <cellStyle name="常规 2 4 7" xfId="789"/>
    <cellStyle name="常规 2 2 6 17" xfId="790"/>
    <cellStyle name="常规 2 2 6 22" xfId="791"/>
    <cellStyle name="常规 2 4 8" xfId="792"/>
    <cellStyle name="常规 2 2 6 18" xfId="793"/>
    <cellStyle name="常规 2 2 6 23" xfId="794"/>
    <cellStyle name="常规 2 4 9" xfId="795"/>
    <cellStyle name="常规 2 2 6 19" xfId="796"/>
    <cellStyle name="常规 2 2 6 24" xfId="797"/>
    <cellStyle name="常规 2 2 6 2" xfId="798"/>
    <cellStyle name="千位分隔 2 4 35" xfId="799"/>
    <cellStyle name="常规 2 2 6 25" xfId="800"/>
    <cellStyle name="常规 2 2 6 30" xfId="801"/>
    <cellStyle name="常规 2 2 6 26" xfId="802"/>
    <cellStyle name="常规 2 2 6 31" xfId="803"/>
    <cellStyle name="常规 2 2 6 27" xfId="804"/>
    <cellStyle name="常规 2 2 6 32" xfId="805"/>
    <cellStyle name="常规 2 2 6 28" xfId="806"/>
    <cellStyle name="常规 2 2 6 33" xfId="807"/>
    <cellStyle name="常规 2 2 6 29" xfId="808"/>
    <cellStyle name="常规 2 2 6 34" xfId="809"/>
    <cellStyle name="常规 2 2 6 3" xfId="810"/>
    <cellStyle name="千位分隔 2 4 36" xfId="811"/>
    <cellStyle name="常规 2 2 6 35" xfId="812"/>
    <cellStyle name="常规 2 2 6 36" xfId="813"/>
    <cellStyle name="常规 2 2 6 4" xfId="814"/>
    <cellStyle name="常规 2 2 6 5" xfId="815"/>
    <cellStyle name="常规 2 2 6 6" xfId="816"/>
    <cellStyle name="常规 2 2 6 7" xfId="817"/>
    <cellStyle name="常规 2 2 6 8" xfId="818"/>
    <cellStyle name="常规 2 2 6 9" xfId="819"/>
    <cellStyle name="常规 2 2 65" xfId="820"/>
    <cellStyle name="常规 2 2 70" xfId="821"/>
    <cellStyle name="常规 2 2 66" xfId="822"/>
    <cellStyle name="常规 2 2 71" xfId="823"/>
    <cellStyle name="常规 2 2 67" xfId="824"/>
    <cellStyle name="常规 2 2 68" xfId="825"/>
    <cellStyle name="常规 2 2 69" xfId="826"/>
    <cellStyle name="常规 2 2 7" xfId="827"/>
    <cellStyle name="常规 2 2 7 10" xfId="828"/>
    <cellStyle name="常规 2 2 7 11" xfId="829"/>
    <cellStyle name="常规 2 9 2" xfId="830"/>
    <cellStyle name="常规 2 2 7 12" xfId="831"/>
    <cellStyle name="常规 2 9 3" xfId="832"/>
    <cellStyle name="常规 2 2 7 13" xfId="833"/>
    <cellStyle name="常规 2 9 4" xfId="834"/>
    <cellStyle name="常规 2 2 7 14" xfId="835"/>
    <cellStyle name="常规 2 9 5" xfId="836"/>
    <cellStyle name="常规 2 2 7 15" xfId="837"/>
    <cellStyle name="常规 2 2 7 20" xfId="838"/>
    <cellStyle name="常规 2 9 6" xfId="839"/>
    <cellStyle name="常规 2 2 7 16" xfId="840"/>
    <cellStyle name="常规 2 2 7 21" xfId="841"/>
    <cellStyle name="常规 2 3_2015年公共财政预算收支、基金收支预算调整表(丽娜10.7定稿)" xfId="842"/>
    <cellStyle name="常规 2 9 7" xfId="843"/>
    <cellStyle name="常规 2 2 7 17" xfId="844"/>
    <cellStyle name="常规 2 2 7 22" xfId="845"/>
    <cellStyle name="常规 2 9 8" xfId="846"/>
    <cellStyle name="常规 2 2 7 18" xfId="847"/>
    <cellStyle name="常规 2 2 7 23" xfId="848"/>
    <cellStyle name="常规 2 9 9" xfId="849"/>
    <cellStyle name="常规 2 2 7 19" xfId="850"/>
    <cellStyle name="常规 2 2 7 24" xfId="851"/>
    <cellStyle name="常规 2 2 7 2" xfId="852"/>
    <cellStyle name="常规 2 2 7 25" xfId="853"/>
    <cellStyle name="常规 2 2 7 30" xfId="854"/>
    <cellStyle name="常规 2 2 7 26" xfId="855"/>
    <cellStyle name="常规 2 2 7 31" xfId="856"/>
    <cellStyle name="常规 2 2 7 27" xfId="857"/>
    <cellStyle name="常规 2 2 7 32" xfId="858"/>
    <cellStyle name="常规 2 2 7 28" xfId="859"/>
    <cellStyle name="常规 2 2 7 33" xfId="860"/>
    <cellStyle name="千位分隔 2 3 2" xfId="861"/>
    <cellStyle name="常规 2 2 7 29" xfId="862"/>
    <cellStyle name="常规 2 2 7 34" xfId="863"/>
    <cellStyle name="千位分隔 2 3 3" xfId="864"/>
    <cellStyle name="常规 2 2 7 3" xfId="865"/>
    <cellStyle name="常规 2 2 7 35" xfId="866"/>
    <cellStyle name="千位分隔 2 3 4" xfId="867"/>
    <cellStyle name="常规 2 2 7 36" xfId="868"/>
    <cellStyle name="千位分隔 2 3 5" xfId="869"/>
    <cellStyle name="常规 2 2 7 4" xfId="870"/>
    <cellStyle name="常规 2 2 7 5" xfId="871"/>
    <cellStyle name="常规 2 2 7 6" xfId="872"/>
    <cellStyle name="常规 2 2 7 7" xfId="873"/>
    <cellStyle name="常规 2 2 7 8" xfId="874"/>
    <cellStyle name="常规 2 2 7 9" xfId="875"/>
    <cellStyle name="常规 2 2 8" xfId="876"/>
    <cellStyle name="常规 2 2 8 10" xfId="877"/>
    <cellStyle name="常规 2 2 8 11" xfId="878"/>
    <cellStyle name="常规 2 2 8 12" xfId="879"/>
    <cellStyle name="常规 2 2 8 13" xfId="880"/>
    <cellStyle name="常规 2 2 8 14" xfId="881"/>
    <cellStyle name="常规 2 2 8 15" xfId="882"/>
    <cellStyle name="常规 2 2 8 20" xfId="883"/>
    <cellStyle name="常规 2 2 8 16" xfId="884"/>
    <cellStyle name="常规 2 2 8 21" xfId="885"/>
    <cellStyle name="常规 2 2 8 17" xfId="886"/>
    <cellStyle name="常规 2 2 8 22" xfId="887"/>
    <cellStyle name="常规 2 2 8 18" xfId="888"/>
    <cellStyle name="常规 2 2 8 23" xfId="889"/>
    <cellStyle name="常规 2 2 8 19" xfId="890"/>
    <cellStyle name="常规 2 2 8 24" xfId="891"/>
    <cellStyle name="常规 2 2 8 2" xfId="892"/>
    <cellStyle name="常规 2 2 8 25" xfId="893"/>
    <cellStyle name="常规 2 2 8 30" xfId="894"/>
    <cellStyle name="常规 2 2 8 26" xfId="895"/>
    <cellStyle name="常规 2 2 8 31" xfId="896"/>
    <cellStyle name="常规 2 2 8 27" xfId="897"/>
    <cellStyle name="常规 2 2 8 32" xfId="898"/>
    <cellStyle name="常规 2 2 8 28" xfId="899"/>
    <cellStyle name="常规 2 2 8 33" xfId="900"/>
    <cellStyle name="千位分隔 2 8 2" xfId="901"/>
    <cellStyle name="常规 2 2 8 29" xfId="902"/>
    <cellStyle name="常规 2 2 8 34" xfId="903"/>
    <cellStyle name="千位分隔 2 8 3" xfId="904"/>
    <cellStyle name="常规 2 2 8 3" xfId="905"/>
    <cellStyle name="常规 2 2 8 35" xfId="906"/>
    <cellStyle name="千位分隔 2 8 4" xfId="907"/>
    <cellStyle name="常规 2 2 8 36" xfId="908"/>
    <cellStyle name="千位分隔 2 8 5" xfId="909"/>
    <cellStyle name="常规 2 2 8 4" xfId="910"/>
    <cellStyle name="常规 2 2 8 5" xfId="911"/>
    <cellStyle name="常规 2 2 8 6" xfId="912"/>
    <cellStyle name="常规 2 2 8 7" xfId="913"/>
    <cellStyle name="常规 2 2 8 8" xfId="914"/>
    <cellStyle name="常规 2 2 8 9" xfId="915"/>
    <cellStyle name="常规 2 2 9" xfId="916"/>
    <cellStyle name="常规 2 2 9 10" xfId="917"/>
    <cellStyle name="常规 2 2 9 11" xfId="918"/>
    <cellStyle name="常规 2 2 9 12" xfId="919"/>
    <cellStyle name="常规 2 2 9 13" xfId="920"/>
    <cellStyle name="常规 2 2 9 14" xfId="921"/>
    <cellStyle name="常规 2 2 9 15" xfId="922"/>
    <cellStyle name="常规 2 2 9 20" xfId="923"/>
    <cellStyle name="常规 2 2 9 16" xfId="924"/>
    <cellStyle name="常规 2 2 9 21" xfId="925"/>
    <cellStyle name="常规 2 2 9 17" xfId="926"/>
    <cellStyle name="常规 2 2 9 22" xfId="927"/>
    <cellStyle name="常规 2 2 9 18" xfId="928"/>
    <cellStyle name="常规 2 2 9 23" xfId="929"/>
    <cellStyle name="常规 2 2 9 19" xfId="930"/>
    <cellStyle name="常规 2 2 9 24" xfId="931"/>
    <cellStyle name="常规 2 2 9 2" xfId="932"/>
    <cellStyle name="千位分隔 6 3 13" xfId="933"/>
    <cellStyle name="常规 2 2 9 25" xfId="934"/>
    <cellStyle name="常规 2 2 9 30" xfId="935"/>
    <cellStyle name="常规 2 2 9 26" xfId="936"/>
    <cellStyle name="常规 2 2 9 31" xfId="937"/>
    <cellStyle name="常规 2 2 9 27" xfId="938"/>
    <cellStyle name="常规 2 2 9 32" xfId="939"/>
    <cellStyle name="常规 2 2 9 28" xfId="940"/>
    <cellStyle name="常规 2 2 9 33" xfId="941"/>
    <cellStyle name="常规 2 2 9 29" xfId="942"/>
    <cellStyle name="常规 2 2 9 34" xfId="943"/>
    <cellStyle name="常规 2 2 9 3" xfId="944"/>
    <cellStyle name="千位分隔 6 3 14" xfId="945"/>
    <cellStyle name="常规 2 2 9 35" xfId="946"/>
    <cellStyle name="常规 2 2 9 36" xfId="947"/>
    <cellStyle name="常规 2 2 9 4" xfId="948"/>
    <cellStyle name="千位分隔 6 3 15" xfId="949"/>
    <cellStyle name="千位分隔 6 3 20" xfId="950"/>
    <cellStyle name="常规 2 2 9 5" xfId="951"/>
    <cellStyle name="千位分隔 6 3 16" xfId="952"/>
    <cellStyle name="千位分隔 6 3 21" xfId="953"/>
    <cellStyle name="常规 2 2 9 6" xfId="954"/>
    <cellStyle name="千位分隔 6 3 17" xfId="955"/>
    <cellStyle name="千位分隔 6 3 22" xfId="956"/>
    <cellStyle name="常规 2 2 9 7" xfId="957"/>
    <cellStyle name="千位分隔 6 3 18" xfId="958"/>
    <cellStyle name="千位分隔 6 3 23" xfId="959"/>
    <cellStyle name="常规 2 2 9 8" xfId="960"/>
    <cellStyle name="千位分隔 6 3 19" xfId="961"/>
    <cellStyle name="千位分隔 6 3 24" xfId="962"/>
    <cellStyle name="常规 2 2 9 9" xfId="963"/>
    <cellStyle name="千位分隔 6 3 25" xfId="964"/>
    <cellStyle name="千位分隔 6 3 30" xfId="965"/>
    <cellStyle name="常规 2 2_2015年公共财政预算收支、基金收支预算调整表(丽娜10.7定稿)" xfId="966"/>
    <cellStyle name="常规 2 3" xfId="967"/>
    <cellStyle name="常规 2 3 10" xfId="968"/>
    <cellStyle name="常规 2 3 11" xfId="969"/>
    <cellStyle name="常规 2 3 12" xfId="970"/>
    <cellStyle name="常规 2 3 13" xfId="971"/>
    <cellStyle name="常规 2 3 14" xfId="972"/>
    <cellStyle name="常规 2 3 15" xfId="973"/>
    <cellStyle name="常规 2 3 20" xfId="974"/>
    <cellStyle name="常规 2 3 16" xfId="975"/>
    <cellStyle name="常规 2 3 21" xfId="976"/>
    <cellStyle name="常规 2 3 17" xfId="977"/>
    <cellStyle name="常规 2 3 22" xfId="978"/>
    <cellStyle name="常规 2 3 18" xfId="979"/>
    <cellStyle name="常规 2 3 23" xfId="980"/>
    <cellStyle name="常规 2 3 19" xfId="981"/>
    <cellStyle name="常规 2 3 24" xfId="982"/>
    <cellStyle name="常规 2 3 2" xfId="983"/>
    <cellStyle name="常规 5 19" xfId="984"/>
    <cellStyle name="常规 5 24" xfId="985"/>
    <cellStyle name="常规 2 3 25" xfId="986"/>
    <cellStyle name="常规 2 3 30" xfId="987"/>
    <cellStyle name="常规 2 3 26" xfId="988"/>
    <cellStyle name="常规 2 3 31" xfId="989"/>
    <cellStyle name="常规 2 3 27" xfId="990"/>
    <cellStyle name="常规 2 3 32" xfId="991"/>
    <cellStyle name="常规 2 3 28" xfId="992"/>
    <cellStyle name="常规 2 3 33" xfId="993"/>
    <cellStyle name="常规 2 3 29" xfId="994"/>
    <cellStyle name="常规 2 3 34" xfId="995"/>
    <cellStyle name="常规 2 3 3" xfId="996"/>
    <cellStyle name="常规 4 3 10" xfId="997"/>
    <cellStyle name="常规 5 25" xfId="998"/>
    <cellStyle name="常规 5 30" xfId="999"/>
    <cellStyle name="常规 2 3 3 10" xfId="1000"/>
    <cellStyle name="千位分隔 39 3" xfId="1001"/>
    <cellStyle name="常规 2 3 3 11" xfId="1002"/>
    <cellStyle name="千位分隔 39 4" xfId="1003"/>
    <cellStyle name="常规 2 3 3 12" xfId="1004"/>
    <cellStyle name="千位分隔 39 5" xfId="1005"/>
    <cellStyle name="常规 2 3 3 13" xfId="1006"/>
    <cellStyle name="千位分隔 39 6" xfId="1007"/>
    <cellStyle name="常规 2 3 3 14" xfId="1008"/>
    <cellStyle name="千位分隔 39 7" xfId="1009"/>
    <cellStyle name="常规 2 3 3 15" xfId="1010"/>
    <cellStyle name="常规 2 3 3 20" xfId="1011"/>
    <cellStyle name="千位分隔 39 8" xfId="1012"/>
    <cellStyle name="常规 2 3 3 16" xfId="1013"/>
    <cellStyle name="常规 2 3 3 21" xfId="1014"/>
    <cellStyle name="千位分隔 39 9" xfId="1015"/>
    <cellStyle name="常规 2 3 3 17" xfId="1016"/>
    <cellStyle name="常规 2 3 3 22" xfId="1017"/>
    <cellStyle name="常规 2 3 3 18" xfId="1018"/>
    <cellStyle name="常规 2 3 3 23" xfId="1019"/>
    <cellStyle name="常规 2 3 3 19" xfId="1020"/>
    <cellStyle name="常规 2 3 3 24" xfId="1021"/>
    <cellStyle name="常规 2 3 3 2" xfId="1022"/>
    <cellStyle name="常规 2 3 3 25" xfId="1023"/>
    <cellStyle name="常规 2 3 3 30" xfId="1024"/>
    <cellStyle name="常规 2 3 3 26" xfId="1025"/>
    <cellStyle name="常规 2 3 3 31" xfId="1026"/>
    <cellStyle name="常规 2 3 3 27" xfId="1027"/>
    <cellStyle name="常规 2 3 3 32" xfId="1028"/>
    <cellStyle name="常规 2 3 3 28" xfId="1029"/>
    <cellStyle name="常规 2 3 3 33" xfId="1030"/>
    <cellStyle name="常规 2 3 3 29" xfId="1031"/>
    <cellStyle name="常规 2 3 3 34" xfId="1032"/>
    <cellStyle name="常规 2 3 3 3" xfId="1033"/>
    <cellStyle name="常规 2 3 3 35" xfId="1034"/>
    <cellStyle name="常规 2 3 3 36" xfId="1035"/>
    <cellStyle name="常规 2 3 3 4" xfId="1036"/>
    <cellStyle name="常规 2 3 3 5" xfId="1037"/>
    <cellStyle name="常规 2 3 3 6" xfId="1038"/>
    <cellStyle name="常规 2 3 3 7" xfId="1039"/>
    <cellStyle name="常规 2 3 3 8" xfId="1040"/>
    <cellStyle name="常规 2 3 3 9" xfId="1041"/>
    <cellStyle name="常规 2 3 35" xfId="1042"/>
    <cellStyle name="常规 2 3 36" xfId="1043"/>
    <cellStyle name="常规 2 3 37" xfId="1044"/>
    <cellStyle name="常规 2 3 38" xfId="1045"/>
    <cellStyle name="常规 2 3 4" xfId="1046"/>
    <cellStyle name="常规 4 3 11" xfId="1047"/>
    <cellStyle name="常规 5 26" xfId="1048"/>
    <cellStyle name="常规 5 31" xfId="1049"/>
    <cellStyle name="常规 2 3 5" xfId="1050"/>
    <cellStyle name="常规 4 3 12" xfId="1051"/>
    <cellStyle name="常规 5 27" xfId="1052"/>
    <cellStyle name="常规 5 32" xfId="1053"/>
    <cellStyle name="常规 2 3 6" xfId="1054"/>
    <cellStyle name="常规 4 3 13" xfId="1055"/>
    <cellStyle name="常规 5 28" xfId="1056"/>
    <cellStyle name="常规 5 33" xfId="1057"/>
    <cellStyle name="常规 2 3 7" xfId="1058"/>
    <cellStyle name="常规 4 3 14" xfId="1059"/>
    <cellStyle name="常规 5 29" xfId="1060"/>
    <cellStyle name="常规 5 34" xfId="1061"/>
    <cellStyle name="常规 2 3 8" xfId="1062"/>
    <cellStyle name="常规 4 3 15" xfId="1063"/>
    <cellStyle name="常规 4 3 20" xfId="1064"/>
    <cellStyle name="常规 5 35" xfId="1065"/>
    <cellStyle name="常规 5 40" xfId="1066"/>
    <cellStyle name="常规 2 3 9" xfId="1067"/>
    <cellStyle name="常规 4 3 16" xfId="1068"/>
    <cellStyle name="常规 4 3 21" xfId="1069"/>
    <cellStyle name="常规 5 36" xfId="1070"/>
    <cellStyle name="常规 5 41" xfId="1071"/>
    <cellStyle name="常规 2 4" xfId="1072"/>
    <cellStyle name="常规 2 4 10" xfId="1073"/>
    <cellStyle name="常规 2 4 11" xfId="1074"/>
    <cellStyle name="常规 2 4 12" xfId="1075"/>
    <cellStyle name="常规 2 4 13" xfId="1076"/>
    <cellStyle name="常规 2 4 14" xfId="1077"/>
    <cellStyle name="常规 2 4 15" xfId="1078"/>
    <cellStyle name="常规 2 4 20" xfId="1079"/>
    <cellStyle name="常规 2 4 16" xfId="1080"/>
    <cellStyle name="常规 2 4 21" xfId="1081"/>
    <cellStyle name="常规 2 4 17" xfId="1082"/>
    <cellStyle name="常规 2 4 22" xfId="1083"/>
    <cellStyle name="常规 2 4 18" xfId="1084"/>
    <cellStyle name="常规 2 4 23" xfId="1085"/>
    <cellStyle name="常规 2 4 19" xfId="1086"/>
    <cellStyle name="常规 2 4 24" xfId="1087"/>
    <cellStyle name="常规 2 4 25" xfId="1088"/>
    <cellStyle name="常规 2 4 30" xfId="1089"/>
    <cellStyle name="常规 2 4 26" xfId="1090"/>
    <cellStyle name="常规 2 4 31" xfId="1091"/>
    <cellStyle name="常规 2 4 27" xfId="1092"/>
    <cellStyle name="常规 2 4 32" xfId="1093"/>
    <cellStyle name="常规 2 4 28" xfId="1094"/>
    <cellStyle name="常规 2 4 33" xfId="1095"/>
    <cellStyle name="常规 2 4 29" xfId="1096"/>
    <cellStyle name="常规 2 4 34" xfId="1097"/>
    <cellStyle name="常规 2 4 3 10" xfId="1098"/>
    <cellStyle name="常规 2 4 3 11" xfId="1099"/>
    <cellStyle name="常规 2 4 3 12" xfId="1100"/>
    <cellStyle name="常规 2 4 3 13" xfId="1101"/>
    <cellStyle name="常规 2 4 3 14" xfId="1102"/>
    <cellStyle name="常规 2 4 3 15" xfId="1103"/>
    <cellStyle name="常规 2 4 3 20" xfId="1104"/>
    <cellStyle name="常规 2 4 3 16" xfId="1105"/>
    <cellStyle name="常规 2 4 3 21" xfId="1106"/>
    <cellStyle name="常规 2 4 3 17" xfId="1107"/>
    <cellStyle name="常规 2 4 3 22" xfId="1108"/>
    <cellStyle name="常规 2 4 3 18" xfId="1109"/>
    <cellStyle name="常规 2 4 3 23" xfId="1110"/>
    <cellStyle name="常规 2 4 3 19" xfId="1111"/>
    <cellStyle name="常规 2 4 3 24" xfId="1112"/>
    <cellStyle name="常规 2 4 3 2" xfId="1113"/>
    <cellStyle name="常规 2 4 3 25" xfId="1114"/>
    <cellStyle name="常规 2 4 3 30" xfId="1115"/>
    <cellStyle name="常规 2 4 3 26" xfId="1116"/>
    <cellStyle name="常规 2 4 3 31" xfId="1117"/>
    <cellStyle name="常规 2 4 3 27" xfId="1118"/>
    <cellStyle name="常规 2 4 3 32" xfId="1119"/>
    <cellStyle name="常规 2 4 3 28" xfId="1120"/>
    <cellStyle name="常规 2 4 3 33" xfId="1121"/>
    <cellStyle name="常规 2 4 3 29" xfId="1122"/>
    <cellStyle name="常规 2 4 3 34" xfId="1123"/>
    <cellStyle name="常规 2 4 3 3" xfId="1124"/>
    <cellStyle name="常规 2 4 3 4" xfId="1125"/>
    <cellStyle name="常规 2 4 35" xfId="1126"/>
    <cellStyle name="常规 2 4 36" xfId="1127"/>
    <cellStyle name="常规 3 2 4 2" xfId="1128"/>
    <cellStyle name="常规 2 4 37" xfId="1129"/>
    <cellStyle name="常规 3 2 4 3" xfId="1130"/>
    <cellStyle name="常规 2 4 38" xfId="1131"/>
    <cellStyle name="常规 3 2 4 4" xfId="1132"/>
    <cellStyle name="常规 2 4_2015年公共财政预算收支、基金收支预算调整表(丽娜10.7定稿)" xfId="1133"/>
    <cellStyle name="常规 2 5" xfId="1134"/>
    <cellStyle name="常规 2 5 10" xfId="1135"/>
    <cellStyle name="常规 2 5 11" xfId="1136"/>
    <cellStyle name="常规 2 5 12" xfId="1137"/>
    <cellStyle name="常规 2 5 13" xfId="1138"/>
    <cellStyle name="常规 2 5 14" xfId="1139"/>
    <cellStyle name="常规 2 5 15" xfId="1140"/>
    <cellStyle name="常规 2 5 20" xfId="1141"/>
    <cellStyle name="常规 2 5 16" xfId="1142"/>
    <cellStyle name="常规 2 5 21" xfId="1143"/>
    <cellStyle name="常规 2 5 17" xfId="1144"/>
    <cellStyle name="常规 2 5 22" xfId="1145"/>
    <cellStyle name="常规 2 5 18" xfId="1146"/>
    <cellStyle name="常规 2 5 23" xfId="1147"/>
    <cellStyle name="常规 2 5 19" xfId="1148"/>
    <cellStyle name="常规 2 5 24" xfId="1149"/>
    <cellStyle name="常规 2 5 2" xfId="1150"/>
    <cellStyle name="常规 2 5 25" xfId="1151"/>
    <cellStyle name="常规 2 5 30" xfId="1152"/>
    <cellStyle name="常规 2 5 26" xfId="1153"/>
    <cellStyle name="常规 2 5 31" xfId="1154"/>
    <cellStyle name="常规 2 5 27" xfId="1155"/>
    <cellStyle name="常规 2 5 32" xfId="1156"/>
    <cellStyle name="常规 2 5 28" xfId="1157"/>
    <cellStyle name="常规 2 5 33" xfId="1158"/>
    <cellStyle name="常规 2 5 29" xfId="1159"/>
    <cellStyle name="常规 2 5 34" xfId="1160"/>
    <cellStyle name="常规 2 5 3" xfId="1161"/>
    <cellStyle name="常规 2 5 3 10" xfId="1162"/>
    <cellStyle name="常规 2 5 3 11" xfId="1163"/>
    <cellStyle name="常规 2 5 3 12" xfId="1164"/>
    <cellStyle name="常规 2 5 3 13" xfId="1165"/>
    <cellStyle name="常规 2 5 3 14" xfId="1166"/>
    <cellStyle name="常规 2 5 3 15" xfId="1167"/>
    <cellStyle name="常规 2 5 3 20" xfId="1168"/>
    <cellStyle name="常规 2 5 3 16" xfId="1169"/>
    <cellStyle name="常规 2 5 3 21" xfId="1170"/>
    <cellStyle name="常规 2 5 3 17" xfId="1171"/>
    <cellStyle name="常规 2 5 3 22" xfId="1172"/>
    <cellStyle name="常规 2 5 3 18" xfId="1173"/>
    <cellStyle name="常规 2 5 3 23" xfId="1174"/>
    <cellStyle name="常规 2 5 3 19" xfId="1175"/>
    <cellStyle name="常规 2 5 3 24" xfId="1176"/>
    <cellStyle name="常规 2 5 3 2" xfId="1177"/>
    <cellStyle name="常规 2 5 3 25" xfId="1178"/>
    <cellStyle name="常规 2 5 3 30" xfId="1179"/>
    <cellStyle name="常规 2 5 3 26" xfId="1180"/>
    <cellStyle name="常规 2 5 3 31" xfId="1181"/>
    <cellStyle name="常规 2 5 3 27" xfId="1182"/>
    <cellStyle name="常规 2 5 3 32" xfId="1183"/>
    <cellStyle name="常规 2 5 3 28" xfId="1184"/>
    <cellStyle name="常规 2 5 3 33" xfId="1185"/>
    <cellStyle name="常规 2 5 3 29" xfId="1186"/>
    <cellStyle name="常规 2 5 3 34" xfId="1187"/>
    <cellStyle name="常规 2 5 3 3" xfId="1188"/>
    <cellStyle name="常规 2 5 3 35" xfId="1189"/>
    <cellStyle name="常规 3 2 10" xfId="1190"/>
    <cellStyle name="常规 2 5 3 36" xfId="1191"/>
    <cellStyle name="常规 3 2 11" xfId="1192"/>
    <cellStyle name="常规 2 5 3 4" xfId="1193"/>
    <cellStyle name="常规 2 5 3 5" xfId="1194"/>
    <cellStyle name="常规 3 2 2" xfId="1195"/>
    <cellStyle name="常规 2 5 3 6" xfId="1196"/>
    <cellStyle name="常规 3 2 3" xfId="1197"/>
    <cellStyle name="常规 2 5 3 7" xfId="1198"/>
    <cellStyle name="常规 3 2 4" xfId="1199"/>
    <cellStyle name="常规 2 5 3 8" xfId="1200"/>
    <cellStyle name="常规 3 2 5" xfId="1201"/>
    <cellStyle name="常规 2 5 3 9" xfId="1202"/>
    <cellStyle name="常规 3 2 6" xfId="1203"/>
    <cellStyle name="常规 2 5 35" xfId="1204"/>
    <cellStyle name="常规 2 5 36" xfId="1205"/>
    <cellStyle name="常规 3 2 9 2" xfId="1206"/>
    <cellStyle name="常规 2 5 37" xfId="1207"/>
    <cellStyle name="常规 3 2 9 3" xfId="1208"/>
    <cellStyle name="常规 2 5 38" xfId="1209"/>
    <cellStyle name="常规 3 2 9 4" xfId="1210"/>
    <cellStyle name="常规 2 5 4" xfId="1211"/>
    <cellStyle name="常规 2 5 5" xfId="1212"/>
    <cellStyle name="常规 2 5 6" xfId="1213"/>
    <cellStyle name="常规 2 5 7" xfId="1214"/>
    <cellStyle name="常规 2 5 8" xfId="1215"/>
    <cellStyle name="常规 2 5 9" xfId="1216"/>
    <cellStyle name="常规 2 6" xfId="1217"/>
    <cellStyle name="常规 2 6 10" xfId="1218"/>
    <cellStyle name="常规 2 6 11" xfId="1219"/>
    <cellStyle name="常规 2 6 12" xfId="1220"/>
    <cellStyle name="常规 2 6 13" xfId="1221"/>
    <cellStyle name="常规 2 6 14" xfId="1222"/>
    <cellStyle name="常规 2 6 15" xfId="1223"/>
    <cellStyle name="常规 2 6 20" xfId="1224"/>
    <cellStyle name="千位分隔 11 2" xfId="1225"/>
    <cellStyle name="常规 2 6 16" xfId="1226"/>
    <cellStyle name="常规 2 6 21" xfId="1227"/>
    <cellStyle name="常规 6_2015年公共财政预算收支、基金收支预算调整表(丽娜10.7定稿)" xfId="1228"/>
    <cellStyle name="千位分隔 11 3" xfId="1229"/>
    <cellStyle name="常规 2 6 17" xfId="1230"/>
    <cellStyle name="常规 2 6 22" xfId="1231"/>
    <cellStyle name="千位分隔 11 4" xfId="1232"/>
    <cellStyle name="常规 2 6 18" xfId="1233"/>
    <cellStyle name="常规 2 6 23" xfId="1234"/>
    <cellStyle name="千位分隔 11 5" xfId="1235"/>
    <cellStyle name="常规 2 6 19" xfId="1236"/>
    <cellStyle name="常规 2 6 24" xfId="1237"/>
    <cellStyle name="千位分隔 11 6" xfId="1238"/>
    <cellStyle name="常规 2 6 2" xfId="1239"/>
    <cellStyle name="常规 3 2 4 10" xfId="1240"/>
    <cellStyle name="常规 2 6 25" xfId="1241"/>
    <cellStyle name="常规 2 6 30" xfId="1242"/>
    <cellStyle name="千位分隔 11 7" xfId="1243"/>
    <cellStyle name="常规 2 6 26" xfId="1244"/>
    <cellStyle name="常规 2 6 31" xfId="1245"/>
    <cellStyle name="千位分隔 11 8" xfId="1246"/>
    <cellStyle name="常规 2 6 27" xfId="1247"/>
    <cellStyle name="常规 2 6 32" xfId="1248"/>
    <cellStyle name="千位分隔 11 9" xfId="1249"/>
    <cellStyle name="常规 2 6 28" xfId="1250"/>
    <cellStyle name="常规 2 6 33" xfId="1251"/>
    <cellStyle name="常规 2 6 29" xfId="1252"/>
    <cellStyle name="常规 2 6 34" xfId="1253"/>
    <cellStyle name="常规 2 6 3" xfId="1254"/>
    <cellStyle name="常规 3 2 4 11" xfId="1255"/>
    <cellStyle name="常规 2 6 35" xfId="1256"/>
    <cellStyle name="常规 2 6 36" xfId="1257"/>
    <cellStyle name="常规 2 6 4" xfId="1258"/>
    <cellStyle name="常规 3 2 4 12" xfId="1259"/>
    <cellStyle name="常规 2 6 5" xfId="1260"/>
    <cellStyle name="常规 3 2 4 13" xfId="1261"/>
    <cellStyle name="常规 2 6 6" xfId="1262"/>
    <cellStyle name="常规 3 2 4 14" xfId="1263"/>
    <cellStyle name="常规 2 6 7" xfId="1264"/>
    <cellStyle name="常规 3 2 4 15" xfId="1265"/>
    <cellStyle name="常规 3 2 4 20" xfId="1266"/>
    <cellStyle name="常规 2 7" xfId="1267"/>
    <cellStyle name="常规 2 7 10" xfId="1268"/>
    <cellStyle name="常规 2 7 11" xfId="1269"/>
    <cellStyle name="常规 2 7 12" xfId="1270"/>
    <cellStyle name="常规 2 7 13" xfId="1271"/>
    <cellStyle name="常规 2 7 14" xfId="1272"/>
    <cellStyle name="常规 2 7 15" xfId="1273"/>
    <cellStyle name="常规 2 7 20" xfId="1274"/>
    <cellStyle name="千位分隔 16 2" xfId="1275"/>
    <cellStyle name="常规 2 7 16" xfId="1276"/>
    <cellStyle name="常规 2 7 21" xfId="1277"/>
    <cellStyle name="千位分隔 16 3" xfId="1278"/>
    <cellStyle name="常规 2 7 17" xfId="1279"/>
    <cellStyle name="常规 2 7 22" xfId="1280"/>
    <cellStyle name="千位分隔 16 4" xfId="1281"/>
    <cellStyle name="常规 2 7 18" xfId="1282"/>
    <cellStyle name="常规 2 7 23" xfId="1283"/>
    <cellStyle name="千位分隔 16 5" xfId="1284"/>
    <cellStyle name="常规 2 7 19" xfId="1285"/>
    <cellStyle name="常规 2 7 24" xfId="1286"/>
    <cellStyle name="千位分隔 16 6" xfId="1287"/>
    <cellStyle name="常规 2 7 2" xfId="1288"/>
    <cellStyle name="常规 2 7 25" xfId="1289"/>
    <cellStyle name="常规 2 7 30" xfId="1290"/>
    <cellStyle name="千位分隔 16 7" xfId="1291"/>
    <cellStyle name="常规 2 7 26" xfId="1292"/>
    <cellStyle name="常规 2 7 31" xfId="1293"/>
    <cellStyle name="千位分隔 16 8" xfId="1294"/>
    <cellStyle name="常规 2 7 27" xfId="1295"/>
    <cellStyle name="常规 2 7 32" xfId="1296"/>
    <cellStyle name="千位分隔 16 9" xfId="1297"/>
    <cellStyle name="常规 2 7 28" xfId="1298"/>
    <cellStyle name="常规 2 7 33" xfId="1299"/>
    <cellStyle name="常规 2 7 29" xfId="1300"/>
    <cellStyle name="常规 2 7 34" xfId="1301"/>
    <cellStyle name="常规 2 7 3" xfId="1302"/>
    <cellStyle name="常规 2 7 35" xfId="1303"/>
    <cellStyle name="常规 2 7 36" xfId="1304"/>
    <cellStyle name="常规 2 7 4" xfId="1305"/>
    <cellStyle name="常规 2 7 5" xfId="1306"/>
    <cellStyle name="常规 2 7 6" xfId="1307"/>
    <cellStyle name="常规 2 7 7" xfId="1308"/>
    <cellStyle name="常规 2 7 8" xfId="1309"/>
    <cellStyle name="常规 2 7 9" xfId="1310"/>
    <cellStyle name="常规 2 8" xfId="1311"/>
    <cellStyle name="常规 2 8 10" xfId="1312"/>
    <cellStyle name="常规 2 8 11" xfId="1313"/>
    <cellStyle name="常规 2 8 12" xfId="1314"/>
    <cellStyle name="常规 2 8 13" xfId="1315"/>
    <cellStyle name="常规 2 8 14" xfId="1316"/>
    <cellStyle name="常规 2 8 15" xfId="1317"/>
    <cellStyle name="常规 2 8 20" xfId="1318"/>
    <cellStyle name="常规 2 8 16" xfId="1319"/>
    <cellStyle name="常规 2 8 21" xfId="1320"/>
    <cellStyle name="常规 2 8 17" xfId="1321"/>
    <cellStyle name="常规 2 8 22" xfId="1322"/>
    <cellStyle name="常规 2 8 18" xfId="1323"/>
    <cellStyle name="常规 2 8 23" xfId="1324"/>
    <cellStyle name="常规 2 8 19" xfId="1325"/>
    <cellStyle name="常规 2 8 24" xfId="1326"/>
    <cellStyle name="常规 2 8 2" xfId="1327"/>
    <cellStyle name="常规 6 19" xfId="1328"/>
    <cellStyle name="常规 6 24" xfId="1329"/>
    <cellStyle name="常规 2 8 25" xfId="1330"/>
    <cellStyle name="常规 2 8 30" xfId="1331"/>
    <cellStyle name="常规 2 8 26" xfId="1332"/>
    <cellStyle name="常规 2 8 31" xfId="1333"/>
    <cellStyle name="常规 2 8 27" xfId="1334"/>
    <cellStyle name="常规 2 8 32" xfId="1335"/>
    <cellStyle name="常规 2 8 28" xfId="1336"/>
    <cellStyle name="常规 2 8 33" xfId="1337"/>
    <cellStyle name="常规 2 8 29" xfId="1338"/>
    <cellStyle name="常规 2 8 34" xfId="1339"/>
    <cellStyle name="常规 2 8 3" xfId="1340"/>
    <cellStyle name="常规 4 4 10" xfId="1341"/>
    <cellStyle name="常规 6 25" xfId="1342"/>
    <cellStyle name="常规 6 30" xfId="1343"/>
    <cellStyle name="常规 2 8 35" xfId="1344"/>
    <cellStyle name="常规 2 8 36" xfId="1345"/>
    <cellStyle name="常规 2 8 4" xfId="1346"/>
    <cellStyle name="常规 4 4 11" xfId="1347"/>
    <cellStyle name="常规 6 26" xfId="1348"/>
    <cellStyle name="常规 6 31" xfId="1349"/>
    <cellStyle name="常规 2 8 5" xfId="1350"/>
    <cellStyle name="常规 4 4 12" xfId="1351"/>
    <cellStyle name="常规 6 27" xfId="1352"/>
    <cellStyle name="常规 6 32" xfId="1353"/>
    <cellStyle name="常规 2 8 6" xfId="1354"/>
    <cellStyle name="常规 4 4 13" xfId="1355"/>
    <cellStyle name="常规 6 28" xfId="1356"/>
    <cellStyle name="常规 6 33" xfId="1357"/>
    <cellStyle name="常规 2 8 7" xfId="1358"/>
    <cellStyle name="常规 4 4 14" xfId="1359"/>
    <cellStyle name="常规 6 29" xfId="1360"/>
    <cellStyle name="常规 6 34" xfId="1361"/>
    <cellStyle name="常规 2 8 8" xfId="1362"/>
    <cellStyle name="常规 4 4 15" xfId="1363"/>
    <cellStyle name="常规 4 4 20" xfId="1364"/>
    <cellStyle name="常规 6 35" xfId="1365"/>
    <cellStyle name="常规 6 40" xfId="1366"/>
    <cellStyle name="常规 2 8 9" xfId="1367"/>
    <cellStyle name="常规 4 4 16" xfId="1368"/>
    <cellStyle name="常规 4 4 21" xfId="1369"/>
    <cellStyle name="常规 6 36" xfId="1370"/>
    <cellStyle name="常规 6 41" xfId="1371"/>
    <cellStyle name="常规 2 9" xfId="1372"/>
    <cellStyle name="常规 2 9 10" xfId="1373"/>
    <cellStyle name="常规 2 9 11" xfId="1374"/>
    <cellStyle name="常规 2 9 12" xfId="1375"/>
    <cellStyle name="常规 2 9 13" xfId="1376"/>
    <cellStyle name="常规 2 9 14" xfId="1377"/>
    <cellStyle name="常规 2 9 15" xfId="1378"/>
    <cellStyle name="常规 2 9 20" xfId="1379"/>
    <cellStyle name="千位分隔 36 2" xfId="1380"/>
    <cellStyle name="常规 2 9 16" xfId="1381"/>
    <cellStyle name="常规 2 9 21" xfId="1382"/>
    <cellStyle name="千位分隔 36 3" xfId="1383"/>
    <cellStyle name="常规 2 9 17" xfId="1384"/>
    <cellStyle name="常规 2 9 22" xfId="1385"/>
    <cellStyle name="常规 3 3_2015年公共财政预算收支、基金收支预算调整表(丽娜10.7定稿)" xfId="1386"/>
    <cellStyle name="千位分隔 36 4" xfId="1387"/>
    <cellStyle name="常规 2 9 18" xfId="1388"/>
    <cellStyle name="常规 2 9 23" xfId="1389"/>
    <cellStyle name="千位分隔 36 5" xfId="1390"/>
    <cellStyle name="常规 2 9 19" xfId="1391"/>
    <cellStyle name="常规 2 9 24" xfId="1392"/>
    <cellStyle name="千位分隔 36 6" xfId="1393"/>
    <cellStyle name="常规 2 9 25" xfId="1394"/>
    <cellStyle name="常规 2 9 30" xfId="1395"/>
    <cellStyle name="千位分隔 36 7" xfId="1396"/>
    <cellStyle name="常规 2 9 26" xfId="1397"/>
    <cellStyle name="常规 2 9 31" xfId="1398"/>
    <cellStyle name="千位分隔 36 8" xfId="1399"/>
    <cellStyle name="常规 2 9 27" xfId="1400"/>
    <cellStyle name="常规 2 9 32" xfId="1401"/>
    <cellStyle name="千位分隔 36 9" xfId="1402"/>
    <cellStyle name="常规 2 9 28" xfId="1403"/>
    <cellStyle name="常规 2 9 33" xfId="1404"/>
    <cellStyle name="常规 2 9 29" xfId="1405"/>
    <cellStyle name="常规 2 9 34" xfId="1406"/>
    <cellStyle name="常规 2 9 35" xfId="1407"/>
    <cellStyle name="常规 2 9 36" xfId="1408"/>
    <cellStyle name="常规 25" xfId="1409"/>
    <cellStyle name="常规 30" xfId="1410"/>
    <cellStyle name="常规 26" xfId="1411"/>
    <cellStyle name="常规 31" xfId="1412"/>
    <cellStyle name="常规 27" xfId="1413"/>
    <cellStyle name="常规 32" xfId="1414"/>
    <cellStyle name="常规 28" xfId="1415"/>
    <cellStyle name="常规 33" xfId="1416"/>
    <cellStyle name="常规 29" xfId="1417"/>
    <cellStyle name="常规 34" xfId="1418"/>
    <cellStyle name="常规 3" xfId="1419"/>
    <cellStyle name="常规 3 10" xfId="1420"/>
    <cellStyle name="常规 3 10 10" xfId="1421"/>
    <cellStyle name="常规 3 10 11" xfId="1422"/>
    <cellStyle name="常规 3 10 12" xfId="1423"/>
    <cellStyle name="常规 3 10 13" xfId="1424"/>
    <cellStyle name="常规 3 10 14" xfId="1425"/>
    <cellStyle name="常规 3 10 15" xfId="1426"/>
    <cellStyle name="常规 3 10 20" xfId="1427"/>
    <cellStyle name="常规 3 10 16" xfId="1428"/>
    <cellStyle name="常规 3 10 21" xfId="1429"/>
    <cellStyle name="常规 3 10 17" xfId="1430"/>
    <cellStyle name="常规 3 10 22" xfId="1431"/>
    <cellStyle name="常规 3 10 18" xfId="1432"/>
    <cellStyle name="常规 3 10 23" xfId="1433"/>
    <cellStyle name="常规 3 10 19" xfId="1434"/>
    <cellStyle name="常规 3 10 24" xfId="1435"/>
    <cellStyle name="常规 3 10 2" xfId="1436"/>
    <cellStyle name="常规 3 10 25" xfId="1437"/>
    <cellStyle name="常规 3 10 30" xfId="1438"/>
    <cellStyle name="常规 3 10 26" xfId="1439"/>
    <cellStyle name="常规 3 10 31" xfId="1440"/>
    <cellStyle name="常规 3 10 27" xfId="1441"/>
    <cellStyle name="常规 3 10 32" xfId="1442"/>
    <cellStyle name="常规 3 10 28" xfId="1443"/>
    <cellStyle name="常规 3 10 33" xfId="1444"/>
    <cellStyle name="常规 3 10 29" xfId="1445"/>
    <cellStyle name="常规 3 10 34" xfId="1446"/>
    <cellStyle name="常规 3 10 3" xfId="1447"/>
    <cellStyle name="常规 3 10 35" xfId="1448"/>
    <cellStyle name="常规 3 10 36" xfId="1449"/>
    <cellStyle name="常规 3 10 4" xfId="1450"/>
    <cellStyle name="常规 3 10 5" xfId="1451"/>
    <cellStyle name="常规 3 10 7" xfId="1452"/>
    <cellStyle name="常规 3 10 8" xfId="1453"/>
    <cellStyle name="常规 3 10 9" xfId="1454"/>
    <cellStyle name="常规 3 11" xfId="1455"/>
    <cellStyle name="常规 3 11 10" xfId="1456"/>
    <cellStyle name="常规 3 11 11" xfId="1457"/>
    <cellStyle name="常规 3 11 12" xfId="1458"/>
    <cellStyle name="常规 3 11 13" xfId="1459"/>
    <cellStyle name="常规 3 11 14" xfId="1460"/>
    <cellStyle name="常规 3 11 15" xfId="1461"/>
    <cellStyle name="常规 3 11 20" xfId="1462"/>
    <cellStyle name="常规 3 11 16" xfId="1463"/>
    <cellStyle name="常规 3 11 21" xfId="1464"/>
    <cellStyle name="常规 3 11 17" xfId="1465"/>
    <cellStyle name="常规 3 11 22" xfId="1466"/>
    <cellStyle name="常规 3 11 18" xfId="1467"/>
    <cellStyle name="常规 3 11 23" xfId="1468"/>
    <cellStyle name="常规 3 11 19" xfId="1469"/>
    <cellStyle name="常规 3 11 24" xfId="1470"/>
    <cellStyle name="常规 3 11 2" xfId="1471"/>
    <cellStyle name="常规 3 11 25" xfId="1472"/>
    <cellStyle name="常规 3 11 30" xfId="1473"/>
    <cellStyle name="常规 3 11 26" xfId="1474"/>
    <cellStyle name="常规 3 11 31" xfId="1475"/>
    <cellStyle name="常规 3 11 27" xfId="1476"/>
    <cellStyle name="常规 3 11 32" xfId="1477"/>
    <cellStyle name="常规 3 11 28" xfId="1478"/>
    <cellStyle name="常规 3 11 33" xfId="1479"/>
    <cellStyle name="常规 3 11 29" xfId="1480"/>
    <cellStyle name="常规 3 11 34" xfId="1481"/>
    <cellStyle name="常规 3 11 3" xfId="1482"/>
    <cellStyle name="常规 3 11 35" xfId="1483"/>
    <cellStyle name="常规 3 11 36" xfId="1484"/>
    <cellStyle name="常规 3 11 4" xfId="1485"/>
    <cellStyle name="常规 3 11 5" xfId="1486"/>
    <cellStyle name="常规 3 11 6" xfId="1487"/>
    <cellStyle name="常规 3 11 7" xfId="1488"/>
    <cellStyle name="常规 3 11 8" xfId="1489"/>
    <cellStyle name="常规 3 11 9" xfId="1490"/>
    <cellStyle name="常规 3 12" xfId="1491"/>
    <cellStyle name="常规 3 12 10" xfId="1492"/>
    <cellStyle name="常规 3 12 11" xfId="1493"/>
    <cellStyle name="常规 3 12 12" xfId="1494"/>
    <cellStyle name="常规 3 12 13" xfId="1495"/>
    <cellStyle name="常规 3 12 14" xfId="1496"/>
    <cellStyle name="常规 3 12 15" xfId="1497"/>
    <cellStyle name="常规 3 12 20" xfId="1498"/>
    <cellStyle name="常规 3 12 16" xfId="1499"/>
    <cellStyle name="常规 3 12 21" xfId="1500"/>
    <cellStyle name="常规 3 12 17" xfId="1501"/>
    <cellStyle name="常规 3 12 22" xfId="1502"/>
    <cellStyle name="常规 3 12 18" xfId="1503"/>
    <cellStyle name="常规 3 12 23" xfId="1504"/>
    <cellStyle name="常规 3 12 19" xfId="1505"/>
    <cellStyle name="常规 3 12 24" xfId="1506"/>
    <cellStyle name="常规 3 12 2" xfId="1507"/>
    <cellStyle name="常规 3 12 25" xfId="1508"/>
    <cellStyle name="常规 3 12 30" xfId="1509"/>
    <cellStyle name="常规 3 12 26" xfId="1510"/>
    <cellStyle name="常规 3 12 31" xfId="1511"/>
    <cellStyle name="常规 3 12 27" xfId="1512"/>
    <cellStyle name="常规 3 12 32" xfId="1513"/>
    <cellStyle name="常规 3 12 28" xfId="1514"/>
    <cellStyle name="常规 3 12 33" xfId="1515"/>
    <cellStyle name="常规 3 12 29" xfId="1516"/>
    <cellStyle name="常规 3 12 34" xfId="1517"/>
    <cellStyle name="常规 3 12 3" xfId="1518"/>
    <cellStyle name="常规 3 12 35" xfId="1519"/>
    <cellStyle name="常规 3 12 36" xfId="1520"/>
    <cellStyle name="常规 3 12 4" xfId="1521"/>
    <cellStyle name="常规 3 12 5" xfId="1522"/>
    <cellStyle name="常规 3 12 6" xfId="1523"/>
    <cellStyle name="常规 3 12 7" xfId="1524"/>
    <cellStyle name="常规 3 12 8" xfId="1525"/>
    <cellStyle name="常规 3 12 9" xfId="1526"/>
    <cellStyle name="常规 3 13" xfId="1527"/>
    <cellStyle name="常规 3 14" xfId="1528"/>
    <cellStyle name="常规 3 15" xfId="1529"/>
    <cellStyle name="常规 3 20" xfId="1530"/>
    <cellStyle name="常规 3 16" xfId="1531"/>
    <cellStyle name="常规 3 21" xfId="1532"/>
    <cellStyle name="常规 3 17" xfId="1533"/>
    <cellStyle name="常规 3 22" xfId="1534"/>
    <cellStyle name="常规 3 18" xfId="1535"/>
    <cellStyle name="常规 3 23" xfId="1536"/>
    <cellStyle name="常规 3 19" xfId="1537"/>
    <cellStyle name="常规 3 24" xfId="1538"/>
    <cellStyle name="常规 3 2" xfId="1539"/>
    <cellStyle name="常规 7 3 29" xfId="1540"/>
    <cellStyle name="常规 7 3 34" xfId="1541"/>
    <cellStyle name="常规 3 2 12" xfId="1542"/>
    <cellStyle name="常规 3 2 13" xfId="1543"/>
    <cellStyle name="常规 3 2 14" xfId="1544"/>
    <cellStyle name="常规 3 2 15" xfId="1545"/>
    <cellStyle name="常规 3 2 20" xfId="1546"/>
    <cellStyle name="常规 3 2 16" xfId="1547"/>
    <cellStyle name="常规 3 2 21" xfId="1548"/>
    <cellStyle name="常规 3 2 17" xfId="1549"/>
    <cellStyle name="常规 3 2 22" xfId="1550"/>
    <cellStyle name="常规 3 2 18" xfId="1551"/>
    <cellStyle name="常规 3 2 23" xfId="1552"/>
    <cellStyle name="常规 3 2 19" xfId="1553"/>
    <cellStyle name="常规 3 2 24" xfId="1554"/>
    <cellStyle name="常规 3 2 25" xfId="1555"/>
    <cellStyle name="常规 3 2 30" xfId="1556"/>
    <cellStyle name="常规 3 2 26" xfId="1557"/>
    <cellStyle name="常规 3 2 31" xfId="1558"/>
    <cellStyle name="常规 3 2 27" xfId="1559"/>
    <cellStyle name="常规 3 2 32" xfId="1560"/>
    <cellStyle name="常规 3 2 28" xfId="1561"/>
    <cellStyle name="常规 3 2 33" xfId="1562"/>
    <cellStyle name="常规 3 2 29" xfId="1563"/>
    <cellStyle name="常规 3 2 34" xfId="1564"/>
    <cellStyle name="常规 3 2 3 10" xfId="1565"/>
    <cellStyle name="常规 3 2 3 11" xfId="1566"/>
    <cellStyle name="常规 3 2 3 12" xfId="1567"/>
    <cellStyle name="常规 3 2 3 13" xfId="1568"/>
    <cellStyle name="常规 3 2 3 14" xfId="1569"/>
    <cellStyle name="常规 3 2 3 2" xfId="1570"/>
    <cellStyle name="常规 3 2 35" xfId="1571"/>
    <cellStyle name="常规 3 2 40" xfId="1572"/>
    <cellStyle name="常规 3 2 36" xfId="1573"/>
    <cellStyle name="常规 3 2 41" xfId="1574"/>
    <cellStyle name="常规 3 2 37" xfId="1575"/>
    <cellStyle name="常规 3 2 42" xfId="1576"/>
    <cellStyle name="常规 3 2 38" xfId="1577"/>
    <cellStyle name="常规 3 2 43" xfId="1578"/>
    <cellStyle name="常规 3 2 39" xfId="1579"/>
    <cellStyle name="常规 3 2 44" xfId="1580"/>
    <cellStyle name="常规 3 2 4 27" xfId="1581"/>
    <cellStyle name="常规 3 2 4 32" xfId="1582"/>
    <cellStyle name="常规 3 2 4 28" xfId="1583"/>
    <cellStyle name="常规 3 2 4 33" xfId="1584"/>
    <cellStyle name="常规 3 2 4 29" xfId="1585"/>
    <cellStyle name="常规 3 2 4 34" xfId="1586"/>
    <cellStyle name="常规 3 2 4 35" xfId="1587"/>
    <cellStyle name="常规 3 2 4 36" xfId="1588"/>
    <cellStyle name="常规 3 2 4 5" xfId="1589"/>
    <cellStyle name="常规 3 2 4 6" xfId="1590"/>
    <cellStyle name="常规 3 2 4 7" xfId="1591"/>
    <cellStyle name="常规 3 2 4 8" xfId="1592"/>
    <cellStyle name="常规 3 2 4 9" xfId="1593"/>
    <cellStyle name="常规 3 2 45" xfId="1594"/>
    <cellStyle name="常规 3 2 50" xfId="1595"/>
    <cellStyle name="常规 3 2 46" xfId="1596"/>
    <cellStyle name="常规 3 2 51" xfId="1597"/>
    <cellStyle name="常规 3 2 47" xfId="1598"/>
    <cellStyle name="常规 3 2 52" xfId="1599"/>
    <cellStyle name="常规 3 2 48" xfId="1600"/>
    <cellStyle name="常规 3 2 53" xfId="1601"/>
    <cellStyle name="常规 3 2 49" xfId="1602"/>
    <cellStyle name="常规 3 2 54" xfId="1603"/>
    <cellStyle name="常规 3 2 5 10" xfId="1604"/>
    <cellStyle name="常规 3 2 5 11" xfId="1605"/>
    <cellStyle name="常规 3 2 5 12" xfId="1606"/>
    <cellStyle name="常规 3 2 5 13" xfId="1607"/>
    <cellStyle name="常规 3 2 5 14" xfId="1608"/>
    <cellStyle name="常规 3 2 5 15" xfId="1609"/>
    <cellStyle name="常规 3 2 5 20" xfId="1610"/>
    <cellStyle name="常规 3 2 5 16" xfId="1611"/>
    <cellStyle name="常规 3 2 5 21" xfId="1612"/>
    <cellStyle name="常规 3 2 5 17" xfId="1613"/>
    <cellStyle name="常规 3 2 5 22" xfId="1614"/>
    <cellStyle name="常规 3 2 5 18" xfId="1615"/>
    <cellStyle name="常规 3 2 5 23" xfId="1616"/>
    <cellStyle name="常规 3 2 5 19" xfId="1617"/>
    <cellStyle name="常规 3 2 5 24" xfId="1618"/>
    <cellStyle name="常规 3 2 5 2" xfId="1619"/>
    <cellStyle name="常规 3 4 3 15" xfId="1620"/>
    <cellStyle name="常规 3 4 3 20" xfId="1621"/>
    <cellStyle name="千位分隔 2 13" xfId="1622"/>
    <cellStyle name="常规 3 2 5 25" xfId="1623"/>
    <cellStyle name="常规 3 2 5 30" xfId="1624"/>
    <cellStyle name="常规 3 2 5 26" xfId="1625"/>
    <cellStyle name="常规 3 2 5 31" xfId="1626"/>
    <cellStyle name="常规 3 2 5 27" xfId="1627"/>
    <cellStyle name="常规 3 2 5 32" xfId="1628"/>
    <cellStyle name="千位分隔 2 5 2" xfId="1629"/>
    <cellStyle name="常规 3 2 5 28" xfId="1630"/>
    <cellStyle name="常规 3 2 5 33" xfId="1631"/>
    <cellStyle name="千位分隔 2 5 3" xfId="1632"/>
    <cellStyle name="常规 3 2 5 29" xfId="1633"/>
    <cellStyle name="常规 3 2 5 34" xfId="1634"/>
    <cellStyle name="千位分隔 2 5 4" xfId="1635"/>
    <cellStyle name="常规 3 2 5 3" xfId="1636"/>
    <cellStyle name="常规 3 4 3 16" xfId="1637"/>
    <cellStyle name="常规 3 4 3 21" xfId="1638"/>
    <cellStyle name="千位分隔 2 14" xfId="1639"/>
    <cellStyle name="常规 3 2 5 35" xfId="1640"/>
    <cellStyle name="千位分隔 2 5 5" xfId="1641"/>
    <cellStyle name="常规 3 2 5 36" xfId="1642"/>
    <cellStyle name="千位分隔 2 5 6" xfId="1643"/>
    <cellStyle name="常规 3 2 5 4" xfId="1644"/>
    <cellStyle name="常规 3 4 3 17" xfId="1645"/>
    <cellStyle name="常规 3 4 3 22" xfId="1646"/>
    <cellStyle name="千位分隔 2 15" xfId="1647"/>
    <cellStyle name="千位分隔 2 20" xfId="1648"/>
    <cellStyle name="常规 3 2 5 5" xfId="1649"/>
    <cellStyle name="常规 3 4 3 18" xfId="1650"/>
    <cellStyle name="常规 3 4 3 23" xfId="1651"/>
    <cellStyle name="千位分隔 2 16" xfId="1652"/>
    <cellStyle name="千位分隔 2 21" xfId="1653"/>
    <cellStyle name="常规 3 2 5 6" xfId="1654"/>
    <cellStyle name="常规 3 4 3 19" xfId="1655"/>
    <cellStyle name="常规 3 4 3 24" xfId="1656"/>
    <cellStyle name="千位分隔 2 17" xfId="1657"/>
    <cellStyle name="千位分隔 2 22" xfId="1658"/>
    <cellStyle name="常规 3 2 5 7" xfId="1659"/>
    <cellStyle name="常规 3 4 3 25" xfId="1660"/>
    <cellStyle name="常规 3 4 3 30" xfId="1661"/>
    <cellStyle name="千位分隔 2 18" xfId="1662"/>
    <cellStyle name="千位分隔 2 23" xfId="1663"/>
    <cellStyle name="常规 3 2 5 8" xfId="1664"/>
    <cellStyle name="常规 3 4 3 26" xfId="1665"/>
    <cellStyle name="常规 3 4 3 31" xfId="1666"/>
    <cellStyle name="千位分隔 2 19" xfId="1667"/>
    <cellStyle name="千位分隔 2 24" xfId="1668"/>
    <cellStyle name="常规 3 2 5 9" xfId="1669"/>
    <cellStyle name="常规 3 4 3 27" xfId="1670"/>
    <cellStyle name="常规 3 4 3 32" xfId="1671"/>
    <cellStyle name="千位分隔 2 25" xfId="1672"/>
    <cellStyle name="千位分隔 2 30" xfId="1673"/>
    <cellStyle name="常规 3 2 55" xfId="1674"/>
    <cellStyle name="常规 3 2 60" xfId="1675"/>
    <cellStyle name="常规 3 2 56" xfId="1676"/>
    <cellStyle name="常规 3 2 61" xfId="1677"/>
    <cellStyle name="常规 3 2 57" xfId="1678"/>
    <cellStyle name="常规 3 2 62" xfId="1679"/>
    <cellStyle name="常规 3 2 58" xfId="1680"/>
    <cellStyle name="常规 3 2 63" xfId="1681"/>
    <cellStyle name="常规 3 2 59" xfId="1682"/>
    <cellStyle name="常规 3 2 64" xfId="1683"/>
    <cellStyle name="常规 3 2 6 10" xfId="1684"/>
    <cellStyle name="常规 3 2 6 11" xfId="1685"/>
    <cellStyle name="常规 3 2 6 12" xfId="1686"/>
    <cellStyle name="常规 3 2 6 13" xfId="1687"/>
    <cellStyle name="常规 3 2 6 14" xfId="1688"/>
    <cellStyle name="常规 3 2 6 15" xfId="1689"/>
    <cellStyle name="常规 3 2 6 20" xfId="1690"/>
    <cellStyle name="常规 3 2 6 16" xfId="1691"/>
    <cellStyle name="常规 3 2 6 21" xfId="1692"/>
    <cellStyle name="常规 3 2 6 17" xfId="1693"/>
    <cellStyle name="常规 3 2 6 22" xfId="1694"/>
    <cellStyle name="常规 3 2 6 18" xfId="1695"/>
    <cellStyle name="常规 3 2 6 23" xfId="1696"/>
    <cellStyle name="常规 3 2 6 19" xfId="1697"/>
    <cellStyle name="常规 3 2 6 24" xfId="1698"/>
    <cellStyle name="常规 3 2 6 2" xfId="1699"/>
    <cellStyle name="千位分隔 2 58" xfId="1700"/>
    <cellStyle name="千位分隔 2 63" xfId="1701"/>
    <cellStyle name="常规 3 2 6 25" xfId="1702"/>
    <cellStyle name="常规 3 2 6 30" xfId="1703"/>
    <cellStyle name="常规 3 2 6 26" xfId="1704"/>
    <cellStyle name="常规 3 2 6 31" xfId="1705"/>
    <cellStyle name="常规 3 2 6 27" xfId="1706"/>
    <cellStyle name="常规 3 2 6 32" xfId="1707"/>
    <cellStyle name="常规 3 2 6 28" xfId="1708"/>
    <cellStyle name="常规 3 2 6 33" xfId="1709"/>
    <cellStyle name="常规 3 2 6 29" xfId="1710"/>
    <cellStyle name="常规 3 2 6 34" xfId="1711"/>
    <cellStyle name="常规 3 2 6 3" xfId="1712"/>
    <cellStyle name="千位分隔 2 59" xfId="1713"/>
    <cellStyle name="千位分隔 2 64" xfId="1714"/>
    <cellStyle name="常规 3 2 6 35" xfId="1715"/>
    <cellStyle name="常规 3 2 6 36" xfId="1716"/>
    <cellStyle name="常规 3 2 6 4" xfId="1717"/>
    <cellStyle name="千位分隔 2 65" xfId="1718"/>
    <cellStyle name="千位分隔 2 70" xfId="1719"/>
    <cellStyle name="常规 3 2 6 5" xfId="1720"/>
    <cellStyle name="千位分隔 2 66" xfId="1721"/>
    <cellStyle name="千位分隔 2 71" xfId="1722"/>
    <cellStyle name="常规 3 2 6 6" xfId="1723"/>
    <cellStyle name="千位分隔 2 67" xfId="1724"/>
    <cellStyle name="常规 3 2 6 7" xfId="1725"/>
    <cellStyle name="千位分隔 2 68" xfId="1726"/>
    <cellStyle name="常规 3 2 6 8" xfId="1727"/>
    <cellStyle name="千位分隔 2 69" xfId="1728"/>
    <cellStyle name="常规 3 2 6 9" xfId="1729"/>
    <cellStyle name="常规 3 2 65" xfId="1730"/>
    <cellStyle name="常规 3 2 70" xfId="1731"/>
    <cellStyle name="常规 3 2 66" xfId="1732"/>
    <cellStyle name="常规 3 2 71" xfId="1733"/>
    <cellStyle name="常规 3 2 67" xfId="1734"/>
    <cellStyle name="常规 3 2 68" xfId="1735"/>
    <cellStyle name="常规 3 2 69" xfId="1736"/>
    <cellStyle name="常规 3 2 7" xfId="1737"/>
    <cellStyle name="常规 3 2 7 10" xfId="1738"/>
    <cellStyle name="常规 3 2 7 11" xfId="1739"/>
    <cellStyle name="常规 3 2 7 12" xfId="1740"/>
    <cellStyle name="常规 3 2 7 13" xfId="1741"/>
    <cellStyle name="常规 3 2 7 14" xfId="1742"/>
    <cellStyle name="常规 3 2 7 15" xfId="1743"/>
    <cellStyle name="常规 3 2 7 20" xfId="1744"/>
    <cellStyle name="常规 3 2 7 16" xfId="1745"/>
    <cellStyle name="常规 3 2 7 21" xfId="1746"/>
    <cellStyle name="常规 3 2 7 17" xfId="1747"/>
    <cellStyle name="常规 3 2 7 22" xfId="1748"/>
    <cellStyle name="常规 3 2 7 18" xfId="1749"/>
    <cellStyle name="常规 3 2 7 23" xfId="1750"/>
    <cellStyle name="常规 3 2 7 19" xfId="1751"/>
    <cellStyle name="常规 3 2 7 24" xfId="1752"/>
    <cellStyle name="常规 3 2 7 2" xfId="1753"/>
    <cellStyle name="常规 6 3 14" xfId="1754"/>
    <cellStyle name="常规 3 2 7 25" xfId="1755"/>
    <cellStyle name="常规 3 2 7 30" xfId="1756"/>
    <cellStyle name="常规 3 2 7 26" xfId="1757"/>
    <cellStyle name="常规 3 2 7 31" xfId="1758"/>
    <cellStyle name="常规 3 2 7 27" xfId="1759"/>
    <cellStyle name="常规 3 2 7 32" xfId="1760"/>
    <cellStyle name="常规 3 2 7 28" xfId="1761"/>
    <cellStyle name="常规 3 2 7 33" xfId="1762"/>
    <cellStyle name="常规 3 2 7 29" xfId="1763"/>
    <cellStyle name="常规 3 2 7 34" xfId="1764"/>
    <cellStyle name="常规 3 2 7 3" xfId="1765"/>
    <cellStyle name="常规 6 3 15" xfId="1766"/>
    <cellStyle name="常规 6 3 20" xfId="1767"/>
    <cellStyle name="常规 3 2 7 35" xfId="1768"/>
    <cellStyle name="常规 3 2 7 36" xfId="1769"/>
    <cellStyle name="常规 3 2 7 4" xfId="1770"/>
    <cellStyle name="常规 6 3 16" xfId="1771"/>
    <cellStyle name="常规 6 3 21" xfId="1772"/>
    <cellStyle name="常规 3 2 7 5" xfId="1773"/>
    <cellStyle name="常规 6 3 17" xfId="1774"/>
    <cellStyle name="常规 6 3 22" xfId="1775"/>
    <cellStyle name="常规 3 2 7 6" xfId="1776"/>
    <cellStyle name="常规 6 3 18" xfId="1777"/>
    <cellStyle name="常规 6 3 23" xfId="1778"/>
    <cellStyle name="常规 3 2 7 7" xfId="1779"/>
    <cellStyle name="常规 6 3 19" xfId="1780"/>
    <cellStyle name="常规 6 3 24" xfId="1781"/>
    <cellStyle name="常规 3 2 7 8" xfId="1782"/>
    <cellStyle name="常规 6 3 25" xfId="1783"/>
    <cellStyle name="常规 6 3 30" xfId="1784"/>
    <cellStyle name="常规 3 2 7 9" xfId="1785"/>
    <cellStyle name="常规 6 3 26" xfId="1786"/>
    <cellStyle name="常规 6 3 31" xfId="1787"/>
    <cellStyle name="常规 3 2 8" xfId="1788"/>
    <cellStyle name="常规 3 2 8 10" xfId="1789"/>
    <cellStyle name="常规 3 2 8 11" xfId="1790"/>
    <cellStyle name="常规 3 2 8 12" xfId="1791"/>
    <cellStyle name="常规 3 2 8 13" xfId="1792"/>
    <cellStyle name="常规 3 2 8 14" xfId="1793"/>
    <cellStyle name="常规 3 2 8 15" xfId="1794"/>
    <cellStyle name="常规 3 2 8 20" xfId="1795"/>
    <cellStyle name="常规 3 2 8 16" xfId="1796"/>
    <cellStyle name="常规 3 2 8 21" xfId="1797"/>
    <cellStyle name="常规 3 2 8 17" xfId="1798"/>
    <cellStyle name="常规 3 2 8 22" xfId="1799"/>
    <cellStyle name="常规 3 2 8 18" xfId="1800"/>
    <cellStyle name="常规 3 2 8 23" xfId="1801"/>
    <cellStyle name="常规 3 2 8 19" xfId="1802"/>
    <cellStyle name="常规 3 2 8 24" xfId="1803"/>
    <cellStyle name="常规 3 2 8 2" xfId="1804"/>
    <cellStyle name="常规 3 2 8 25" xfId="1805"/>
    <cellStyle name="常规 3 2 8 30" xfId="1806"/>
    <cellStyle name="常规 3 2 8 26" xfId="1807"/>
    <cellStyle name="常规 3 2 8 31" xfId="1808"/>
    <cellStyle name="常规 3 2 8 27" xfId="1809"/>
    <cellStyle name="常规 3 2 8 32" xfId="1810"/>
    <cellStyle name="常规 3 2 8 28" xfId="1811"/>
    <cellStyle name="常规 3 2 8 33" xfId="1812"/>
    <cellStyle name="常规 3 2 8 29" xfId="1813"/>
    <cellStyle name="常规 3 2 8 34" xfId="1814"/>
    <cellStyle name="常规 3 2 8 3" xfId="1815"/>
    <cellStyle name="常规 3 2 8 35" xfId="1816"/>
    <cellStyle name="常规 3 2 8 36" xfId="1817"/>
    <cellStyle name="常规 3 2 8 4" xfId="1818"/>
    <cellStyle name="常规 3 2 8 5" xfId="1819"/>
    <cellStyle name="常规 3 2 8 6" xfId="1820"/>
    <cellStyle name="常规 3 2 8 7" xfId="1821"/>
    <cellStyle name="常规 3 2 8 8" xfId="1822"/>
    <cellStyle name="常规 3 2 8 9" xfId="1823"/>
    <cellStyle name="常规 3 2 9" xfId="1824"/>
    <cellStyle name="常规 3 2 9 10" xfId="1825"/>
    <cellStyle name="常规 3 6 2" xfId="1826"/>
    <cellStyle name="常规 3 2 9 11" xfId="1827"/>
    <cellStyle name="常规 3 6 3" xfId="1828"/>
    <cellStyle name="常规 3 2 9 12" xfId="1829"/>
    <cellStyle name="常规 3 6 4" xfId="1830"/>
    <cellStyle name="常规 3 2 9 13" xfId="1831"/>
    <cellStyle name="常规 3 6 5" xfId="1832"/>
    <cellStyle name="常规 3 2 9 14" xfId="1833"/>
    <cellStyle name="常规 3 6 6" xfId="1834"/>
    <cellStyle name="常规 3 2 9 15" xfId="1835"/>
    <cellStyle name="常规 3 2 9 20" xfId="1836"/>
    <cellStyle name="常规 3 6 7" xfId="1837"/>
    <cellStyle name="常规 3 2 9 16" xfId="1838"/>
    <cellStyle name="常规 3 2 9 21" xfId="1839"/>
    <cellStyle name="常规 3 6 8" xfId="1840"/>
    <cellStyle name="常规 3 2 9 17" xfId="1841"/>
    <cellStyle name="常规 3 2 9 22" xfId="1842"/>
    <cellStyle name="常规 3 6 9" xfId="1843"/>
    <cellStyle name="常规 3 2 9 18" xfId="1844"/>
    <cellStyle name="常规 3 2 9 23" xfId="1845"/>
    <cellStyle name="常规 3 2 9 19" xfId="1846"/>
    <cellStyle name="常规 3 2 9 24" xfId="1847"/>
    <cellStyle name="常规 3 2 9 25" xfId="1848"/>
    <cellStyle name="常规 3 2 9 30" xfId="1849"/>
    <cellStyle name="常规 3 2 9 26" xfId="1850"/>
    <cellStyle name="常规 3 2 9 31" xfId="1851"/>
    <cellStyle name="常规 3 2 9 27" xfId="1852"/>
    <cellStyle name="常规 3 2 9 32" xfId="1853"/>
    <cellStyle name="常规 3 2 9 28" xfId="1854"/>
    <cellStyle name="常规 3 2 9 33" xfId="1855"/>
    <cellStyle name="常规 3 2 9 29" xfId="1856"/>
    <cellStyle name="常规 3 2 9 34" xfId="1857"/>
    <cellStyle name="常规 3 2 9 35" xfId="1858"/>
    <cellStyle name="常规 3 2 9 36" xfId="1859"/>
    <cellStyle name="常规 3 2 9 5" xfId="1860"/>
    <cellStyle name="常规 3 2 9 6" xfId="1861"/>
    <cellStyle name="常规 3 2 9 7" xfId="1862"/>
    <cellStyle name="常规 3 2 9 8" xfId="1863"/>
    <cellStyle name="常规 3 2 9 9" xfId="1864"/>
    <cellStyle name="常规 3 2_2015年公共财政预算收支、基金收支预算调整表(丽娜10.7定稿)" xfId="1865"/>
    <cellStyle name="千位分隔 15 19" xfId="1866"/>
    <cellStyle name="常规 3 25" xfId="1867"/>
    <cellStyle name="常规 3 30" xfId="1868"/>
    <cellStyle name="常规 3 26" xfId="1869"/>
    <cellStyle name="常规 3 31" xfId="1870"/>
    <cellStyle name="常规 3 27" xfId="1871"/>
    <cellStyle name="常规 3 32" xfId="1872"/>
    <cellStyle name="常规 3 28" xfId="1873"/>
    <cellStyle name="常规 3 33" xfId="1874"/>
    <cellStyle name="常规 3 29" xfId="1875"/>
    <cellStyle name="常规 3 34" xfId="1876"/>
    <cellStyle name="常规 3 3" xfId="1877"/>
    <cellStyle name="常规 7 3 35" xfId="1878"/>
    <cellStyle name="常规 3 3 10" xfId="1879"/>
    <cellStyle name="常规 3 3 11" xfId="1880"/>
    <cellStyle name="常规 3 3 12" xfId="1881"/>
    <cellStyle name="常规 3 3 13" xfId="1882"/>
    <cellStyle name="常规 3 3 14" xfId="1883"/>
    <cellStyle name="常规 3 3 15" xfId="1884"/>
    <cellStyle name="常规 3 3 20" xfId="1885"/>
    <cellStyle name="常规 3 3 16" xfId="1886"/>
    <cellStyle name="常规 3 3 21" xfId="1887"/>
    <cellStyle name="常规 3 3 17" xfId="1888"/>
    <cellStyle name="常规 3 3 22" xfId="1889"/>
    <cellStyle name="常规 3 3 18" xfId="1890"/>
    <cellStyle name="常规 3 3 23" xfId="1891"/>
    <cellStyle name="常规 3 3 19" xfId="1892"/>
    <cellStyle name="常规 3 3 24" xfId="1893"/>
    <cellStyle name="常规 3 3 2" xfId="1894"/>
    <cellStyle name="常规 3 3 25" xfId="1895"/>
    <cellStyle name="常规 3 3 30" xfId="1896"/>
    <cellStyle name="常规 3 3 3" xfId="1897"/>
    <cellStyle name="常规 4 8 10" xfId="1898"/>
    <cellStyle name="常规 3 3 3 10" xfId="1899"/>
    <cellStyle name="常规 3 3 3 11" xfId="1900"/>
    <cellStyle name="常规 3 3 3 12" xfId="1901"/>
    <cellStyle name="常规 3 3 3 13" xfId="1902"/>
    <cellStyle name="常规 3 3 3 14" xfId="1903"/>
    <cellStyle name="常规 3 3 3 15" xfId="1904"/>
    <cellStyle name="常规 3 3 3 20" xfId="1905"/>
    <cellStyle name="常规 3 3 3 16" xfId="1906"/>
    <cellStyle name="常规 3 3 3 21" xfId="1907"/>
    <cellStyle name="常规 3 3 3 17" xfId="1908"/>
    <cellStyle name="常规 3 3 3 22" xfId="1909"/>
    <cellStyle name="常规 3 3 3 18" xfId="1910"/>
    <cellStyle name="常规 3 3 3 23" xfId="1911"/>
    <cellStyle name="常规 3 3 3 19" xfId="1912"/>
    <cellStyle name="常规 3 3 3 24" xfId="1913"/>
    <cellStyle name="常规 3 3 3 2" xfId="1914"/>
    <cellStyle name="常规 3 3 3 25" xfId="1915"/>
    <cellStyle name="常规 3 3 3 30" xfId="1916"/>
    <cellStyle name="常规 3 3 3 26" xfId="1917"/>
    <cellStyle name="常规 3 3 3 31" xfId="1918"/>
    <cellStyle name="常规 3 3 3 27" xfId="1919"/>
    <cellStyle name="常规 3 3 3 32" xfId="1920"/>
    <cellStyle name="常规 3 3 3 28" xfId="1921"/>
    <cellStyle name="常规 3 3 3 33" xfId="1922"/>
    <cellStyle name="常规 3 3 3 29" xfId="1923"/>
    <cellStyle name="常规 3 3 3 34" xfId="1924"/>
    <cellStyle name="常规 3 3 3 3" xfId="1925"/>
    <cellStyle name="常规 3 3 3 35" xfId="1926"/>
    <cellStyle name="常规 3 3 3 36" xfId="1927"/>
    <cellStyle name="常规 3 3 3 4" xfId="1928"/>
    <cellStyle name="常规 3 3 3 5" xfId="1929"/>
    <cellStyle name="常规 3 3 3 6" xfId="1930"/>
    <cellStyle name="常规 3 3 3 7" xfId="1931"/>
    <cellStyle name="常规 3 3 3 8" xfId="1932"/>
    <cellStyle name="常规 3 3 3 9" xfId="1933"/>
    <cellStyle name="常规 3 3 4" xfId="1934"/>
    <cellStyle name="常规 4 8 11" xfId="1935"/>
    <cellStyle name="常规 3 3 5" xfId="1936"/>
    <cellStyle name="常规 4 8 12" xfId="1937"/>
    <cellStyle name="常规 3 3 6" xfId="1938"/>
    <cellStyle name="常规 4 8 13" xfId="1939"/>
    <cellStyle name="常规 3 3 7" xfId="1940"/>
    <cellStyle name="常规 4 8 14" xfId="1941"/>
    <cellStyle name="常规 3 3 8" xfId="1942"/>
    <cellStyle name="常规 4 8 15" xfId="1943"/>
    <cellStyle name="常规 4 8 20" xfId="1944"/>
    <cellStyle name="常规 3 3 9" xfId="1945"/>
    <cellStyle name="常规 4 8 16" xfId="1946"/>
    <cellStyle name="常规 4 8 21" xfId="1947"/>
    <cellStyle name="常规 3 35" xfId="1948"/>
    <cellStyle name="常规 3 40" xfId="1949"/>
    <cellStyle name="常规 3 36" xfId="1950"/>
    <cellStyle name="常规 3 41" xfId="1951"/>
    <cellStyle name="常规 3 37" xfId="1952"/>
    <cellStyle name="常规 3 42" xfId="1953"/>
    <cellStyle name="常规 3 38" xfId="1954"/>
    <cellStyle name="常规 3 43" xfId="1955"/>
    <cellStyle name="常规 3 39" xfId="1956"/>
    <cellStyle name="常规 3 44" xfId="1957"/>
    <cellStyle name="常规 3 4" xfId="1958"/>
    <cellStyle name="常规 7 3 36" xfId="1959"/>
    <cellStyle name="常规 3 4 10" xfId="1960"/>
    <cellStyle name="常规 3 4 11" xfId="1961"/>
    <cellStyle name="常规 3 4 12" xfId="1962"/>
    <cellStyle name="常规 3 4 13" xfId="1963"/>
    <cellStyle name="常规 3 4 14" xfId="1964"/>
    <cellStyle name="常规 3 4 15" xfId="1965"/>
    <cellStyle name="常规 3 4 20" xfId="1966"/>
    <cellStyle name="常规 3 4 16" xfId="1967"/>
    <cellStyle name="常规 3 4 21" xfId="1968"/>
    <cellStyle name="常规 3 4 17" xfId="1969"/>
    <cellStyle name="常规 3 4 22" xfId="1970"/>
    <cellStyle name="常规 3 4 18" xfId="1971"/>
    <cellStyle name="常规 3 4 23" xfId="1972"/>
    <cellStyle name="常规 3 4 19" xfId="1973"/>
    <cellStyle name="常规 3 4 24" xfId="1974"/>
    <cellStyle name="常规 3 4 2" xfId="1975"/>
    <cellStyle name="常规 3 4 25" xfId="1976"/>
    <cellStyle name="常规 3 4 30" xfId="1977"/>
    <cellStyle name="常规 3 4 26" xfId="1978"/>
    <cellStyle name="常规 3 4 31" xfId="1979"/>
    <cellStyle name="常规 3 4 27" xfId="1980"/>
    <cellStyle name="常规 3 4 32" xfId="1981"/>
    <cellStyle name="常规 3 4 28" xfId="1982"/>
    <cellStyle name="常规 3 4 33" xfId="1983"/>
    <cellStyle name="常规 3 4 29" xfId="1984"/>
    <cellStyle name="常规 3 4 34" xfId="1985"/>
    <cellStyle name="常规 3 4 3 10" xfId="1986"/>
    <cellStyle name="常规 3 4 3 11" xfId="1987"/>
    <cellStyle name="常规 3 4 3 12" xfId="1988"/>
    <cellStyle name="千位分隔 2 10" xfId="1989"/>
    <cellStyle name="常规 3 4 3 13" xfId="1990"/>
    <cellStyle name="千位分隔 2 11" xfId="1991"/>
    <cellStyle name="常规 3 4 3 14" xfId="1992"/>
    <cellStyle name="千位分隔 2 12" xfId="1993"/>
    <cellStyle name="常规 3 4 3 2" xfId="1994"/>
    <cellStyle name="常规 3 4 3 28" xfId="1995"/>
    <cellStyle name="常规 3 4 3 33" xfId="1996"/>
    <cellStyle name="千位分隔 2 26" xfId="1997"/>
    <cellStyle name="千位分隔 2 31" xfId="1998"/>
    <cellStyle name="常规 3 4 3 29" xfId="1999"/>
    <cellStyle name="常规 3 4 3 34" xfId="2000"/>
    <cellStyle name="千位分隔 2 27" xfId="2001"/>
    <cellStyle name="千位分隔 2 32" xfId="2002"/>
    <cellStyle name="常规 3 4 3 3" xfId="2003"/>
    <cellStyle name="常规 3 4 3 35" xfId="2004"/>
    <cellStyle name="千位分隔 2 28" xfId="2005"/>
    <cellStyle name="千位分隔 2 33" xfId="2006"/>
    <cellStyle name="常规 3 4 3 36" xfId="2007"/>
    <cellStyle name="千位分隔 2 29" xfId="2008"/>
    <cellStyle name="千位分隔 2 34" xfId="2009"/>
    <cellStyle name="常规 3 4 3 4" xfId="2010"/>
    <cellStyle name="常规 3 4 3 5" xfId="2011"/>
    <cellStyle name="常规 3 4 3 6" xfId="2012"/>
    <cellStyle name="常规 3 4 3 7" xfId="2013"/>
    <cellStyle name="常规 3 4 3 8" xfId="2014"/>
    <cellStyle name="常规 3 4 3 9" xfId="2015"/>
    <cellStyle name="常规 3 4 35" xfId="2016"/>
    <cellStyle name="常规 3 4 36" xfId="2017"/>
    <cellStyle name="常规 3 4 37" xfId="2018"/>
    <cellStyle name="常规 3 4 38" xfId="2019"/>
    <cellStyle name="常规 3 4 4" xfId="2020"/>
    <cellStyle name="常规 3 4 5" xfId="2021"/>
    <cellStyle name="常规 3 4 6" xfId="2022"/>
    <cellStyle name="常规 3 4 7" xfId="2023"/>
    <cellStyle name="常规 3 4 8" xfId="2024"/>
    <cellStyle name="常规 3 4 9" xfId="2025"/>
    <cellStyle name="常规 3 4_2015年公共财政预算收支、基金收支预算调整表(丽娜10.7定稿)" xfId="2026"/>
    <cellStyle name="常规 3 45" xfId="2027"/>
    <cellStyle name="常规 3 50" xfId="2028"/>
    <cellStyle name="常规 3 46" xfId="2029"/>
    <cellStyle name="常规 3 51" xfId="2030"/>
    <cellStyle name="常规 3 47" xfId="2031"/>
    <cellStyle name="常规 3 52" xfId="2032"/>
    <cellStyle name="常规 3 48" xfId="2033"/>
    <cellStyle name="常规 3 53" xfId="2034"/>
    <cellStyle name="常规 3 49" xfId="2035"/>
    <cellStyle name="常规 3 54" xfId="2036"/>
    <cellStyle name="常规 3 5" xfId="2037"/>
    <cellStyle name="常规 3 55" xfId="2038"/>
    <cellStyle name="常规 3 60" xfId="2039"/>
    <cellStyle name="常规 3 56" xfId="2040"/>
    <cellStyle name="常规 3 61" xfId="2041"/>
    <cellStyle name="常规 3 57" xfId="2042"/>
    <cellStyle name="常规 3 62" xfId="2043"/>
    <cellStyle name="常规 3 58" xfId="2044"/>
    <cellStyle name="常规 3 63" xfId="2045"/>
    <cellStyle name="常规 3 59" xfId="2046"/>
    <cellStyle name="常规 3 64" xfId="2047"/>
    <cellStyle name="常规 3 6" xfId="2048"/>
    <cellStyle name="常规 3 6 10" xfId="2049"/>
    <cellStyle name="常规 3 6 11" xfId="2050"/>
    <cellStyle name="常规 9 2" xfId="2051"/>
    <cellStyle name="常规 3 6 12" xfId="2052"/>
    <cellStyle name="常规 9 3" xfId="2053"/>
    <cellStyle name="常规 3 6 13" xfId="2054"/>
    <cellStyle name="常规 4 7 2" xfId="2055"/>
    <cellStyle name="常规 9 4" xfId="2056"/>
    <cellStyle name="常规 3 6 14" xfId="2057"/>
    <cellStyle name="常规 4 7 3" xfId="2058"/>
    <cellStyle name="常规 9 5" xfId="2059"/>
    <cellStyle name="常规 3 6 15" xfId="2060"/>
    <cellStyle name="常规 3 6 20" xfId="2061"/>
    <cellStyle name="常规 4 7 4" xfId="2062"/>
    <cellStyle name="常规 9 6" xfId="2063"/>
    <cellStyle name="常规 3 6 16" xfId="2064"/>
    <cellStyle name="常规 3 6 21" xfId="2065"/>
    <cellStyle name="常规 4 7 5" xfId="2066"/>
    <cellStyle name="常规 9 7" xfId="2067"/>
    <cellStyle name="常规 3 6 17" xfId="2068"/>
    <cellStyle name="常规 3 6 22" xfId="2069"/>
    <cellStyle name="常规 4 7 6" xfId="2070"/>
    <cellStyle name="常规 9 8" xfId="2071"/>
    <cellStyle name="常规 3 6 18" xfId="2072"/>
    <cellStyle name="常规 3 6 23" xfId="2073"/>
    <cellStyle name="常规 4 7 7" xfId="2074"/>
    <cellStyle name="常规 9 9" xfId="2075"/>
    <cellStyle name="常规 3 6 19" xfId="2076"/>
    <cellStyle name="常规 3 6 24" xfId="2077"/>
    <cellStyle name="常规 4 7 8" xfId="2078"/>
    <cellStyle name="常规 3 6 25" xfId="2079"/>
    <cellStyle name="常规 3 6 30" xfId="2080"/>
    <cellStyle name="常规 4 7 9" xfId="2081"/>
    <cellStyle name="常规 3 65" xfId="2082"/>
    <cellStyle name="常规 3 70" xfId="2083"/>
    <cellStyle name="常规 3 66" xfId="2084"/>
    <cellStyle name="常规 3 71" xfId="2085"/>
    <cellStyle name="常规 3 67" xfId="2086"/>
    <cellStyle name="常规 3 72" xfId="2087"/>
    <cellStyle name="常规 3 7" xfId="2088"/>
    <cellStyle name="常规 3 7 10" xfId="2089"/>
    <cellStyle name="常规 3 7 11" xfId="2090"/>
    <cellStyle name="常规 3 7 12" xfId="2091"/>
    <cellStyle name="常规 3 7 13" xfId="2092"/>
    <cellStyle name="常规 3 7 14" xfId="2093"/>
    <cellStyle name="常规 3 7 15" xfId="2094"/>
    <cellStyle name="常规 3 7 20" xfId="2095"/>
    <cellStyle name="常规 3 7 16" xfId="2096"/>
    <cellStyle name="常规 3 7 21" xfId="2097"/>
    <cellStyle name="常规 3 7 17" xfId="2098"/>
    <cellStyle name="常规 3 7 22" xfId="2099"/>
    <cellStyle name="常规 3 7 18" xfId="2100"/>
    <cellStyle name="常规 3 7 23" xfId="2101"/>
    <cellStyle name="常规 3 7 19" xfId="2102"/>
    <cellStyle name="常规 3 7 24" xfId="2103"/>
    <cellStyle name="常规 3 7 2" xfId="2104"/>
    <cellStyle name="常规 3 7 25" xfId="2105"/>
    <cellStyle name="常规 3 7 30" xfId="2106"/>
    <cellStyle name="常规 3 7 26" xfId="2107"/>
    <cellStyle name="常规 3 7 31" xfId="2108"/>
    <cellStyle name="常规 3 7 27" xfId="2109"/>
    <cellStyle name="常规 3 7 32" xfId="2110"/>
    <cellStyle name="常规 3 7 28" xfId="2111"/>
    <cellStyle name="常规 3 7 33" xfId="2112"/>
    <cellStyle name="常规 3 7 29" xfId="2113"/>
    <cellStyle name="常规 3 7 34" xfId="2114"/>
    <cellStyle name="常规 3 7 3" xfId="2115"/>
    <cellStyle name="常规 3 7 35" xfId="2116"/>
    <cellStyle name="常规 3 7 36" xfId="2117"/>
    <cellStyle name="常规 3 7 4" xfId="2118"/>
    <cellStyle name="常规 3 7 5" xfId="2119"/>
    <cellStyle name="常规 3 7 6" xfId="2120"/>
    <cellStyle name="常规 3 7 7" xfId="2121"/>
    <cellStyle name="常规 3 7 8" xfId="2122"/>
    <cellStyle name="常规 3 7 9" xfId="2123"/>
    <cellStyle name="常规 3 8" xfId="2124"/>
    <cellStyle name="常规 3 8 10" xfId="2125"/>
    <cellStyle name="常规 3 8 11" xfId="2126"/>
    <cellStyle name="常规 3 8 12" xfId="2127"/>
    <cellStyle name="常规 3 8 13" xfId="2128"/>
    <cellStyle name="常规 3 8 14" xfId="2129"/>
    <cellStyle name="常规 3 8 15" xfId="2130"/>
    <cellStyle name="常规 3 8 20" xfId="2131"/>
    <cellStyle name="常规 3 8 16" xfId="2132"/>
    <cellStyle name="常规 3 8 21" xfId="2133"/>
    <cellStyle name="常规 3 8 17" xfId="2134"/>
    <cellStyle name="常规 3 8 22" xfId="2135"/>
    <cellStyle name="常规 3 8 18" xfId="2136"/>
    <cellStyle name="常规 3 8 23" xfId="2137"/>
    <cellStyle name="常规 3 8 19" xfId="2138"/>
    <cellStyle name="常规 3 8 24" xfId="2139"/>
    <cellStyle name="常规 3 8 2" xfId="2140"/>
    <cellStyle name="常规 3 8 25" xfId="2141"/>
    <cellStyle name="常规 3 8 30" xfId="2142"/>
    <cellStyle name="常规 3 8 26" xfId="2143"/>
    <cellStyle name="常规 3 8 31" xfId="2144"/>
    <cellStyle name="常规 3 8 27" xfId="2145"/>
    <cellStyle name="常规 3 8 32" xfId="2146"/>
    <cellStyle name="常规 3 8 28" xfId="2147"/>
    <cellStyle name="常规 3 8 33" xfId="2148"/>
    <cellStyle name="常规 3 8 29" xfId="2149"/>
    <cellStyle name="常规 3 8 34" xfId="2150"/>
    <cellStyle name="常规 3 8 3" xfId="2151"/>
    <cellStyle name="常规 4 9 10" xfId="2152"/>
    <cellStyle name="常规 3 8 35" xfId="2153"/>
    <cellStyle name="常规 3 8 36" xfId="2154"/>
    <cellStyle name="常规 3 8 4" xfId="2155"/>
    <cellStyle name="常规 4 9 11" xfId="2156"/>
    <cellStyle name="常规 3 8 5" xfId="2157"/>
    <cellStyle name="常规 4 9 12" xfId="2158"/>
    <cellStyle name="常规 3 8 6" xfId="2159"/>
    <cellStyle name="常规 4 9 13" xfId="2160"/>
    <cellStyle name="常规 3 8 7" xfId="2161"/>
    <cellStyle name="常规 4 9 14" xfId="2162"/>
    <cellStyle name="常规 3 8 8" xfId="2163"/>
    <cellStyle name="常规 4 9 15" xfId="2164"/>
    <cellStyle name="常规 4 9 20" xfId="2165"/>
    <cellStyle name="常规 3 8 9" xfId="2166"/>
    <cellStyle name="常规 4 9 16" xfId="2167"/>
    <cellStyle name="常规 4 9 21" xfId="2168"/>
    <cellStyle name="常规 3 9" xfId="2169"/>
    <cellStyle name="常规 3 9 10" xfId="2170"/>
    <cellStyle name="千位分隔 4 3" xfId="2171"/>
    <cellStyle name="常规 3 9 11" xfId="2172"/>
    <cellStyle name="千位分隔 4 4" xfId="2173"/>
    <cellStyle name="常规 3 9 12" xfId="2174"/>
    <cellStyle name="千位分隔 4 5" xfId="2175"/>
    <cellStyle name="常规 3 9 13" xfId="2176"/>
    <cellStyle name="千位分隔 4 6" xfId="2177"/>
    <cellStyle name="常规 3 9 14" xfId="2178"/>
    <cellStyle name="千位分隔 4 7" xfId="2179"/>
    <cellStyle name="常规 3 9 15" xfId="2180"/>
    <cellStyle name="常规 3 9 20" xfId="2181"/>
    <cellStyle name="千位分隔 4 8" xfId="2182"/>
    <cellStyle name="常规 3 9 16" xfId="2183"/>
    <cellStyle name="常规 3 9 21" xfId="2184"/>
    <cellStyle name="千位分隔 4 9" xfId="2185"/>
    <cellStyle name="常规 3 9 17" xfId="2186"/>
    <cellStyle name="常规 3 9 22" xfId="2187"/>
    <cellStyle name="常规 3 9 18" xfId="2188"/>
    <cellStyle name="常规 3 9 23" xfId="2189"/>
    <cellStyle name="常规 3 9 19" xfId="2190"/>
    <cellStyle name="常规 3 9 24" xfId="2191"/>
    <cellStyle name="常规 3 9 2" xfId="2192"/>
    <cellStyle name="常规 3 9 25" xfId="2193"/>
    <cellStyle name="常规 3 9 30" xfId="2194"/>
    <cellStyle name="常规 3 9 3" xfId="2195"/>
    <cellStyle name="常规 3 9 5" xfId="2196"/>
    <cellStyle name="常规 3 9 6" xfId="2197"/>
    <cellStyle name="常规 3 9 7" xfId="2198"/>
    <cellStyle name="常规 3 9 8" xfId="2199"/>
    <cellStyle name="常规 3 9 9" xfId="2200"/>
    <cellStyle name="常规 35" xfId="2201"/>
    <cellStyle name="常规 40" xfId="2202"/>
    <cellStyle name="常规 36" xfId="2203"/>
    <cellStyle name="常规 41" xfId="2204"/>
    <cellStyle name="常规 37" xfId="2205"/>
    <cellStyle name="常规 42" xfId="2206"/>
    <cellStyle name="常规 38" xfId="2207"/>
    <cellStyle name="常规 43" xfId="2208"/>
    <cellStyle name="常规 4" xfId="2209"/>
    <cellStyle name="常规 4 10" xfId="2210"/>
    <cellStyle name="常规 4 11" xfId="2211"/>
    <cellStyle name="常规 4 12" xfId="2212"/>
    <cellStyle name="常规 4 13" xfId="2213"/>
    <cellStyle name="常规 4 14" xfId="2214"/>
    <cellStyle name="常规 4 15" xfId="2215"/>
    <cellStyle name="常规 4 20" xfId="2216"/>
    <cellStyle name="常规 4 16" xfId="2217"/>
    <cellStyle name="常规 4 21" xfId="2218"/>
    <cellStyle name="常规 4 17" xfId="2219"/>
    <cellStyle name="常规 4 22" xfId="2220"/>
    <cellStyle name="常规 4 18" xfId="2221"/>
    <cellStyle name="常规 4 23" xfId="2222"/>
    <cellStyle name="常规 4 19" xfId="2223"/>
    <cellStyle name="常规 4 24" xfId="2224"/>
    <cellStyle name="常规 4 2" xfId="2225"/>
    <cellStyle name="常规 4 25" xfId="2226"/>
    <cellStyle name="常规 4 30" xfId="2227"/>
    <cellStyle name="常规 4 26" xfId="2228"/>
    <cellStyle name="常规 4 31" xfId="2229"/>
    <cellStyle name="常规 4 27" xfId="2230"/>
    <cellStyle name="常规 4 32" xfId="2231"/>
    <cellStyle name="常规 4 28" xfId="2232"/>
    <cellStyle name="常规 4 33" xfId="2233"/>
    <cellStyle name="常规 4 29" xfId="2234"/>
    <cellStyle name="常规 4 34" xfId="2235"/>
    <cellStyle name="常规 4 3" xfId="2236"/>
    <cellStyle name="常规 4 3 3" xfId="2237"/>
    <cellStyle name="常规 5 5" xfId="2238"/>
    <cellStyle name="常规 4 3 35" xfId="2239"/>
    <cellStyle name="常规 5 55" xfId="2240"/>
    <cellStyle name="常规 5 60" xfId="2241"/>
    <cellStyle name="常规 4 3 36" xfId="2242"/>
    <cellStyle name="常规 5 56" xfId="2243"/>
    <cellStyle name="常规 5 61" xfId="2244"/>
    <cellStyle name="常规 4 3 6" xfId="2245"/>
    <cellStyle name="常规 5 8" xfId="2246"/>
    <cellStyle name="常规 4 3 7" xfId="2247"/>
    <cellStyle name="常规 5 9" xfId="2248"/>
    <cellStyle name="常规 4 3 8" xfId="2249"/>
    <cellStyle name="常规 4 3 9" xfId="2250"/>
    <cellStyle name="常规 4 35" xfId="2251"/>
    <cellStyle name="常规 4 40" xfId="2252"/>
    <cellStyle name="常规 4 36" xfId="2253"/>
    <cellStyle name="常规 4 41" xfId="2254"/>
    <cellStyle name="常规 4 4" xfId="2255"/>
    <cellStyle name="常规 4 4 17" xfId="2256"/>
    <cellStyle name="常规 4 4 22" xfId="2257"/>
    <cellStyle name="常规 6 37" xfId="2258"/>
    <cellStyle name="常规 6 42" xfId="2259"/>
    <cellStyle name="常规 4 4 18" xfId="2260"/>
    <cellStyle name="常规 4 4 23" xfId="2261"/>
    <cellStyle name="常规 6 38" xfId="2262"/>
    <cellStyle name="常规 6 43" xfId="2263"/>
    <cellStyle name="常规 4 4 19" xfId="2264"/>
    <cellStyle name="常规 4 4 24" xfId="2265"/>
    <cellStyle name="常规 6 39" xfId="2266"/>
    <cellStyle name="常规 6 44" xfId="2267"/>
    <cellStyle name="常规 4 4 2" xfId="2268"/>
    <cellStyle name="常规 6 4" xfId="2269"/>
    <cellStyle name="千位分隔 11 15" xfId="2270"/>
    <cellStyle name="千位分隔 11 20" xfId="2271"/>
    <cellStyle name="常规 4 4 25" xfId="2272"/>
    <cellStyle name="常规 4 4 30" xfId="2273"/>
    <cellStyle name="常规 6 45" xfId="2274"/>
    <cellStyle name="常规 6 50" xfId="2275"/>
    <cellStyle name="常规 4 4 26" xfId="2276"/>
    <cellStyle name="常规 4 4 31" xfId="2277"/>
    <cellStyle name="常规 6 46" xfId="2278"/>
    <cellStyle name="常规 6 51" xfId="2279"/>
    <cellStyle name="千位分隔 2 2 2" xfId="2280"/>
    <cellStyle name="常规 4 4 27" xfId="2281"/>
    <cellStyle name="常规 4 4 32" xfId="2282"/>
    <cellStyle name="常规 6 47" xfId="2283"/>
    <cellStyle name="常规 6 52" xfId="2284"/>
    <cellStyle name="常规 4 4 28" xfId="2285"/>
    <cellStyle name="常规 4 4 33" xfId="2286"/>
    <cellStyle name="常规 6 48" xfId="2287"/>
    <cellStyle name="常规 6 53" xfId="2288"/>
    <cellStyle name="常规 4 4 29" xfId="2289"/>
    <cellStyle name="常规 4 4 34" xfId="2290"/>
    <cellStyle name="常规 6 49" xfId="2291"/>
    <cellStyle name="常规 6 54" xfId="2292"/>
    <cellStyle name="常规 4 4 35" xfId="2293"/>
    <cellStyle name="常规 6 55" xfId="2294"/>
    <cellStyle name="常规 6 60" xfId="2295"/>
    <cellStyle name="常规 4 4 36" xfId="2296"/>
    <cellStyle name="常规 6 56" xfId="2297"/>
    <cellStyle name="常规 6 61" xfId="2298"/>
    <cellStyle name="常规 4 4 4" xfId="2299"/>
    <cellStyle name="常规 6 6" xfId="2300"/>
    <cellStyle name="千位分隔 11 17" xfId="2301"/>
    <cellStyle name="千位分隔 11 22" xfId="2302"/>
    <cellStyle name="常规 4 4 5" xfId="2303"/>
    <cellStyle name="常规 6 7" xfId="2304"/>
    <cellStyle name="千位分隔 11 18" xfId="2305"/>
    <cellStyle name="千位分隔 11 23" xfId="2306"/>
    <cellStyle name="常规 4 4 6" xfId="2307"/>
    <cellStyle name="常规 6 8" xfId="2308"/>
    <cellStyle name="千位分隔 11 19" xfId="2309"/>
    <cellStyle name="常规 4 4 7" xfId="2310"/>
    <cellStyle name="常规 6 9" xfId="2311"/>
    <cellStyle name="常规 4 4 8" xfId="2312"/>
    <cellStyle name="常规 4 4 9" xfId="2313"/>
    <cellStyle name="常规 4 5 10" xfId="2314"/>
    <cellStyle name="常规 7 25" xfId="2315"/>
    <cellStyle name="常规 7 30" xfId="2316"/>
    <cellStyle name="常规 4 5 11" xfId="2317"/>
    <cellStyle name="常规 7 26" xfId="2318"/>
    <cellStyle name="常规 7 31" xfId="2319"/>
    <cellStyle name="常规 4 5 12" xfId="2320"/>
    <cellStyle name="常规 7 27" xfId="2321"/>
    <cellStyle name="常规 7 32" xfId="2322"/>
    <cellStyle name="常规 4 5 13" xfId="2323"/>
    <cellStyle name="常规 7 28" xfId="2324"/>
    <cellStyle name="常规 7 33" xfId="2325"/>
    <cellStyle name="常规 9 2 2" xfId="2326"/>
    <cellStyle name="常规 4 5 14" xfId="2327"/>
    <cellStyle name="常规 7 29" xfId="2328"/>
    <cellStyle name="常规 7 34" xfId="2329"/>
    <cellStyle name="常规 4 5 15" xfId="2330"/>
    <cellStyle name="常规 4 5 20" xfId="2331"/>
    <cellStyle name="常规 7 35" xfId="2332"/>
    <cellStyle name="常规 7 40" xfId="2333"/>
    <cellStyle name="常规 4 5 16" xfId="2334"/>
    <cellStyle name="常规 4 5 21" xfId="2335"/>
    <cellStyle name="常规 7 36" xfId="2336"/>
    <cellStyle name="常规 7 41" xfId="2337"/>
    <cellStyle name="常规 4 5 17" xfId="2338"/>
    <cellStyle name="常规 4 5 22" xfId="2339"/>
    <cellStyle name="常规 7 37" xfId="2340"/>
    <cellStyle name="常规 7 42" xfId="2341"/>
    <cellStyle name="常规 4 5 18" xfId="2342"/>
    <cellStyle name="常规 4 5 23" xfId="2343"/>
    <cellStyle name="常规 7 38" xfId="2344"/>
    <cellStyle name="常规 7 43" xfId="2345"/>
    <cellStyle name="常规 4 5 19" xfId="2346"/>
    <cellStyle name="常规 4 5 24" xfId="2347"/>
    <cellStyle name="常规 7 39" xfId="2348"/>
    <cellStyle name="常规 7 44" xfId="2349"/>
    <cellStyle name="常规 4 5 2" xfId="2350"/>
    <cellStyle name="常规 7 4" xfId="2351"/>
    <cellStyle name="常规 4 5 25" xfId="2352"/>
    <cellStyle name="常规 4 5 30" xfId="2353"/>
    <cellStyle name="常规 7 45" xfId="2354"/>
    <cellStyle name="常规 7 50" xfId="2355"/>
    <cellStyle name="常规 4 5 26" xfId="2356"/>
    <cellStyle name="常规 4 5 31" xfId="2357"/>
    <cellStyle name="常规 7 46" xfId="2358"/>
    <cellStyle name="常规 7 51" xfId="2359"/>
    <cellStyle name="千位分隔 2 7 2" xfId="2360"/>
    <cellStyle name="常规 4 5 27" xfId="2361"/>
    <cellStyle name="常规 4 5 32" xfId="2362"/>
    <cellStyle name="常规 7 47" xfId="2363"/>
    <cellStyle name="常规 7 52" xfId="2364"/>
    <cellStyle name="千位分隔 2 7 3" xfId="2365"/>
    <cellStyle name="常规 4 5 28" xfId="2366"/>
    <cellStyle name="常规 4 5 33" xfId="2367"/>
    <cellStyle name="常规 7 48" xfId="2368"/>
    <cellStyle name="常规 7 53" xfId="2369"/>
    <cellStyle name="千位分隔 2 7 4" xfId="2370"/>
    <cellStyle name="常规 4 5 29" xfId="2371"/>
    <cellStyle name="常规 4 5 34" xfId="2372"/>
    <cellStyle name="常规 7 49" xfId="2373"/>
    <cellStyle name="常规 7 54" xfId="2374"/>
    <cellStyle name="千位分隔 2 7 5" xfId="2375"/>
    <cellStyle name="常规 4 5 3" xfId="2376"/>
    <cellStyle name="常规 7 5" xfId="2377"/>
    <cellStyle name="常规 4 5 35" xfId="2378"/>
    <cellStyle name="常规 7 55" xfId="2379"/>
    <cellStyle name="常规 7 60" xfId="2380"/>
    <cellStyle name="千位分隔 2 7 6" xfId="2381"/>
    <cellStyle name="常规 4 5 36" xfId="2382"/>
    <cellStyle name="常规 7 56" xfId="2383"/>
    <cellStyle name="常规 7 61" xfId="2384"/>
    <cellStyle name="千位分隔 2 7 7" xfId="2385"/>
    <cellStyle name="常规 4 5 4" xfId="2386"/>
    <cellStyle name="常规 7 6" xfId="2387"/>
    <cellStyle name="常规 4 5 5" xfId="2388"/>
    <cellStyle name="常规 7 7" xfId="2389"/>
    <cellStyle name="常规 4 5 6" xfId="2390"/>
    <cellStyle name="常规 7 8" xfId="2391"/>
    <cellStyle name="常规 4 5 7" xfId="2392"/>
    <cellStyle name="常规 7 9" xfId="2393"/>
    <cellStyle name="常规 4 5 8" xfId="2394"/>
    <cellStyle name="常规 4 5 9" xfId="2395"/>
    <cellStyle name="常规 4 55" xfId="2396"/>
    <cellStyle name="常规 4 60" xfId="2397"/>
    <cellStyle name="常规 4 56" xfId="2398"/>
    <cellStyle name="常规 4 61" xfId="2399"/>
    <cellStyle name="常规 4 57" xfId="2400"/>
    <cellStyle name="常规 4 62" xfId="2401"/>
    <cellStyle name="常规 4 58" xfId="2402"/>
    <cellStyle name="常规 4 63" xfId="2403"/>
    <cellStyle name="常规 4 59" xfId="2404"/>
    <cellStyle name="常规 4 64" xfId="2405"/>
    <cellStyle name="常规 4 6 10" xfId="2406"/>
    <cellStyle name="常规 8 25" xfId="2407"/>
    <cellStyle name="常规 8 30" xfId="2408"/>
    <cellStyle name="常规 4 6 11" xfId="2409"/>
    <cellStyle name="常规 8 26" xfId="2410"/>
    <cellStyle name="常规 8 31" xfId="2411"/>
    <cellStyle name="常规 4 6 12" xfId="2412"/>
    <cellStyle name="常规 8 27" xfId="2413"/>
    <cellStyle name="常规 8 32" xfId="2414"/>
    <cellStyle name="常规 4 6 13" xfId="2415"/>
    <cellStyle name="常规 8 28" xfId="2416"/>
    <cellStyle name="常规 8 33" xfId="2417"/>
    <cellStyle name="常规 4 6 14" xfId="2418"/>
    <cellStyle name="常规 8 29" xfId="2419"/>
    <cellStyle name="常规 8 34" xfId="2420"/>
    <cellStyle name="常规 4 6 15" xfId="2421"/>
    <cellStyle name="常规 4 6 20" xfId="2422"/>
    <cellStyle name="常规 8 35" xfId="2423"/>
    <cellStyle name="常规 8 40" xfId="2424"/>
    <cellStyle name="常规 4 6 16" xfId="2425"/>
    <cellStyle name="常规 4 6 21" xfId="2426"/>
    <cellStyle name="常规 8 36" xfId="2427"/>
    <cellStyle name="常规 8 41" xfId="2428"/>
    <cellStyle name="常规 4 6 17" xfId="2429"/>
    <cellStyle name="常规 4 6 22" xfId="2430"/>
    <cellStyle name="常规 8 37" xfId="2431"/>
    <cellStyle name="常规 8 42" xfId="2432"/>
    <cellStyle name="常规 4 6 18" xfId="2433"/>
    <cellStyle name="常规 4 6 23" xfId="2434"/>
    <cellStyle name="常规 8 38" xfId="2435"/>
    <cellStyle name="常规 8 43" xfId="2436"/>
    <cellStyle name="常规 4 6 19" xfId="2437"/>
    <cellStyle name="常规 4 6 24" xfId="2438"/>
    <cellStyle name="常规 8 39" xfId="2439"/>
    <cellStyle name="常规 8 44" xfId="2440"/>
    <cellStyle name="常规 4 6 2" xfId="2441"/>
    <cellStyle name="常规 8 4" xfId="2442"/>
    <cellStyle name="常规 4 6 25" xfId="2443"/>
    <cellStyle name="常规 4 6 30" xfId="2444"/>
    <cellStyle name="常规 8 45" xfId="2445"/>
    <cellStyle name="常规 8 50" xfId="2446"/>
    <cellStyle name="常规 4 6 26" xfId="2447"/>
    <cellStyle name="常规 4 6 31" xfId="2448"/>
    <cellStyle name="常规 8 46" xfId="2449"/>
    <cellStyle name="常规 8 51" xfId="2450"/>
    <cellStyle name="常规 4 6 27" xfId="2451"/>
    <cellStyle name="常规 4 6 32" xfId="2452"/>
    <cellStyle name="常规 8 47" xfId="2453"/>
    <cellStyle name="常规 8 52" xfId="2454"/>
    <cellStyle name="常规 4 6 28" xfId="2455"/>
    <cellStyle name="常规 4 6 33" xfId="2456"/>
    <cellStyle name="常规 8 48" xfId="2457"/>
    <cellStyle name="常规 8 53" xfId="2458"/>
    <cellStyle name="常规 4 6 29" xfId="2459"/>
    <cellStyle name="常规 4 6 34" xfId="2460"/>
    <cellStyle name="常规 8 49" xfId="2461"/>
    <cellStyle name="常规 8 54" xfId="2462"/>
    <cellStyle name="常规 4 6 3" xfId="2463"/>
    <cellStyle name="常规 8 5" xfId="2464"/>
    <cellStyle name="常规 4 6 35" xfId="2465"/>
    <cellStyle name="常规 8 55" xfId="2466"/>
    <cellStyle name="常规 8 60" xfId="2467"/>
    <cellStyle name="常规 4 6 36" xfId="2468"/>
    <cellStyle name="常规 8 56" xfId="2469"/>
    <cellStyle name="常规 8 61" xfId="2470"/>
    <cellStyle name="常规 4 6 4" xfId="2471"/>
    <cellStyle name="常规 8 6" xfId="2472"/>
    <cellStyle name="常规 4 6 5" xfId="2473"/>
    <cellStyle name="常规 8 7" xfId="2474"/>
    <cellStyle name="常规 4 6 6" xfId="2475"/>
    <cellStyle name="常规 8 8" xfId="2476"/>
    <cellStyle name="常规 4 6 7" xfId="2477"/>
    <cellStyle name="常规 8 9" xfId="2478"/>
    <cellStyle name="常规 4 6 8" xfId="2479"/>
    <cellStyle name="常规 4 6 9" xfId="2480"/>
    <cellStyle name="常规 4 66" xfId="2481"/>
    <cellStyle name="常规 4 71" xfId="2482"/>
    <cellStyle name="常规 4 67" xfId="2483"/>
    <cellStyle name="常规 4 7 10" xfId="2484"/>
    <cellStyle name="常规 9 25" xfId="2485"/>
    <cellStyle name="常规 9 30" xfId="2486"/>
    <cellStyle name="常规 4 7 11" xfId="2487"/>
    <cellStyle name="常规 9 26" xfId="2488"/>
    <cellStyle name="常规 9 31" xfId="2489"/>
    <cellStyle name="常规 4 7 12" xfId="2490"/>
    <cellStyle name="常规 9 27" xfId="2491"/>
    <cellStyle name="常规 9 32" xfId="2492"/>
    <cellStyle name="常规 4 7 13" xfId="2493"/>
    <cellStyle name="常规 9 28" xfId="2494"/>
    <cellStyle name="常规 9 33" xfId="2495"/>
    <cellStyle name="常规 4 7 14" xfId="2496"/>
    <cellStyle name="常规 9 29" xfId="2497"/>
    <cellStyle name="常规 9 34" xfId="2498"/>
    <cellStyle name="常规 4 7 15" xfId="2499"/>
    <cellStyle name="常规 4 7 20" xfId="2500"/>
    <cellStyle name="常规 9 35" xfId="2501"/>
    <cellStyle name="常规 9 40" xfId="2502"/>
    <cellStyle name="常规 4 7 16" xfId="2503"/>
    <cellStyle name="常规 4 7 21" xfId="2504"/>
    <cellStyle name="常规 9 36" xfId="2505"/>
    <cellStyle name="常规 9 41" xfId="2506"/>
    <cellStyle name="常规 4 7 17" xfId="2507"/>
    <cellStyle name="常规 4 7 22" xfId="2508"/>
    <cellStyle name="常规 9 37" xfId="2509"/>
    <cellStyle name="常规 9 42" xfId="2510"/>
    <cellStyle name="常规 4 7 18" xfId="2511"/>
    <cellStyle name="常规 4 7 23" xfId="2512"/>
    <cellStyle name="常规 9 38" xfId="2513"/>
    <cellStyle name="常规 9 43" xfId="2514"/>
    <cellStyle name="常规 4 7 19" xfId="2515"/>
    <cellStyle name="常规 4 7 24" xfId="2516"/>
    <cellStyle name="常规 9 39" xfId="2517"/>
    <cellStyle name="常规 9 44" xfId="2518"/>
    <cellStyle name="常规 4 7 25" xfId="2519"/>
    <cellStyle name="常规 4 7 30" xfId="2520"/>
    <cellStyle name="常规 9 45" xfId="2521"/>
    <cellStyle name="常规 9 50" xfId="2522"/>
    <cellStyle name="常规 4 7 26" xfId="2523"/>
    <cellStyle name="常规 4 7 31" xfId="2524"/>
    <cellStyle name="常规 9 46" xfId="2525"/>
    <cellStyle name="常规 9 51" xfId="2526"/>
    <cellStyle name="常规 4 7 27" xfId="2527"/>
    <cellStyle name="常规 4 7 32" xfId="2528"/>
    <cellStyle name="常规 9 47" xfId="2529"/>
    <cellStyle name="常规 9 52" xfId="2530"/>
    <cellStyle name="常规 4 7 28" xfId="2531"/>
    <cellStyle name="常规 4 7 33" xfId="2532"/>
    <cellStyle name="常规 9 48" xfId="2533"/>
    <cellStyle name="常规 9 53" xfId="2534"/>
    <cellStyle name="常规 4 7 29" xfId="2535"/>
    <cellStyle name="常规 4 7 34" xfId="2536"/>
    <cellStyle name="常规 9 49" xfId="2537"/>
    <cellStyle name="常规 9 54" xfId="2538"/>
    <cellStyle name="常规 4 7 35" xfId="2539"/>
    <cellStyle name="常规 9 55" xfId="2540"/>
    <cellStyle name="常规 9 60" xfId="2541"/>
    <cellStyle name="常规 4 7 36" xfId="2542"/>
    <cellStyle name="常规 9 56" xfId="2543"/>
    <cellStyle name="常规 9 61" xfId="2544"/>
    <cellStyle name="常规 4 8 17" xfId="2545"/>
    <cellStyle name="常规 4 8 22" xfId="2546"/>
    <cellStyle name="常规 4 8 18" xfId="2547"/>
    <cellStyle name="常规 4 8 23" xfId="2548"/>
    <cellStyle name="常规 4 8 19" xfId="2549"/>
    <cellStyle name="常规 4 8 24" xfId="2550"/>
    <cellStyle name="常规 4 8 2" xfId="2551"/>
    <cellStyle name="常规 4 8 25" xfId="2552"/>
    <cellStyle name="常规 4 8 30" xfId="2553"/>
    <cellStyle name="常规 4 8 26" xfId="2554"/>
    <cellStyle name="常规 4 8 31" xfId="2555"/>
    <cellStyle name="常规 4 8 27" xfId="2556"/>
    <cellStyle name="常规 4 8 32" xfId="2557"/>
    <cellStyle name="常规 4 8 28" xfId="2558"/>
    <cellStyle name="常规 4 8 33" xfId="2559"/>
    <cellStyle name="常规 4 8 29" xfId="2560"/>
    <cellStyle name="常规 4 8 34" xfId="2561"/>
    <cellStyle name="常规 4 8 3" xfId="2562"/>
    <cellStyle name="常规 4 8 35" xfId="2563"/>
    <cellStyle name="常规 4 8 36" xfId="2564"/>
    <cellStyle name="常规 4 8 4" xfId="2565"/>
    <cellStyle name="常规 4 8 5" xfId="2566"/>
    <cellStyle name="常规 4 8 6" xfId="2567"/>
    <cellStyle name="常规 4 8 7" xfId="2568"/>
    <cellStyle name="常规 4 8 8" xfId="2569"/>
    <cellStyle name="常规 4 8 9" xfId="2570"/>
    <cellStyle name="常规 4 9 17" xfId="2571"/>
    <cellStyle name="常规 4 9 22" xfId="2572"/>
    <cellStyle name="常规 4 9 18" xfId="2573"/>
    <cellStyle name="常规 4 9 23" xfId="2574"/>
    <cellStyle name="常规 4 9 19" xfId="2575"/>
    <cellStyle name="常规 4 9 24" xfId="2576"/>
    <cellStyle name="常规 4 9 2" xfId="2577"/>
    <cellStyle name="常规 4 9 25" xfId="2578"/>
    <cellStyle name="常规 4 9 30" xfId="2579"/>
    <cellStyle name="常规 4 9 26" xfId="2580"/>
    <cellStyle name="常规 4 9 31" xfId="2581"/>
    <cellStyle name="常规 4 9 27" xfId="2582"/>
    <cellStyle name="常规 4 9 32" xfId="2583"/>
    <cellStyle name="常规 4 9 28" xfId="2584"/>
    <cellStyle name="常规 4 9 33" xfId="2585"/>
    <cellStyle name="常规 4 9 29" xfId="2586"/>
    <cellStyle name="常规 4 9 34" xfId="2587"/>
    <cellStyle name="常规 4 9 3" xfId="2588"/>
    <cellStyle name="常规 4 9 35" xfId="2589"/>
    <cellStyle name="常规 4 9 36" xfId="2590"/>
    <cellStyle name="常规 4 9 4" xfId="2591"/>
    <cellStyle name="常规 4 9 5" xfId="2592"/>
    <cellStyle name="常规 5_2015年公共财政预算收支、基金收支预算调整表(丽娜10.7定稿)" xfId="2593"/>
    <cellStyle name="常规 4 9 6" xfId="2594"/>
    <cellStyle name="常规 4 9 7" xfId="2595"/>
    <cellStyle name="常规 4 9 8" xfId="2596"/>
    <cellStyle name="常规 4 9 9" xfId="2597"/>
    <cellStyle name="常规 4_2015年公共财政预算收支、基金收支预算调整表(丽娜10.7定稿)" xfId="2598"/>
    <cellStyle name="常规 45" xfId="2599"/>
    <cellStyle name="常规 50" xfId="2600"/>
    <cellStyle name="常规 46" xfId="2601"/>
    <cellStyle name="常规 51" xfId="2602"/>
    <cellStyle name="常规 47" xfId="2603"/>
    <cellStyle name="常规 52" xfId="2604"/>
    <cellStyle name="常规 48" xfId="2605"/>
    <cellStyle name="常规 53" xfId="2606"/>
    <cellStyle name="常规 49" xfId="2607"/>
    <cellStyle name="常规 54" xfId="2608"/>
    <cellStyle name="常规 5" xfId="2609"/>
    <cellStyle name="常规 5 10" xfId="2610"/>
    <cellStyle name="常规 5 11" xfId="2611"/>
    <cellStyle name="常规 5 12" xfId="2612"/>
    <cellStyle name="常规 5 13" xfId="2613"/>
    <cellStyle name="常规 5 14" xfId="2614"/>
    <cellStyle name="常规 5 15" xfId="2615"/>
    <cellStyle name="常规 5 20" xfId="2616"/>
    <cellStyle name="常规 5 16" xfId="2617"/>
    <cellStyle name="常规 5 21" xfId="2618"/>
    <cellStyle name="常规 5 17" xfId="2619"/>
    <cellStyle name="常规 5 22" xfId="2620"/>
    <cellStyle name="常规 5 18" xfId="2621"/>
    <cellStyle name="常规 5 23" xfId="2622"/>
    <cellStyle name="常规 5 3 10" xfId="2623"/>
    <cellStyle name="常规 7 3 3" xfId="2624"/>
    <cellStyle name="常规 5 3 11" xfId="2625"/>
    <cellStyle name="常规 7 3 4" xfId="2626"/>
    <cellStyle name="常规 5 3 12" xfId="2627"/>
    <cellStyle name="常规 7 3 5" xfId="2628"/>
    <cellStyle name="千位分隔 2 6 10" xfId="2629"/>
    <cellStyle name="常规 5 3 13" xfId="2630"/>
    <cellStyle name="常规 7 3 6" xfId="2631"/>
    <cellStyle name="千位分隔 2 6 11" xfId="2632"/>
    <cellStyle name="常规 5 3 14" xfId="2633"/>
    <cellStyle name="常规 7 3 7" xfId="2634"/>
    <cellStyle name="千位分隔 2 6 12" xfId="2635"/>
    <cellStyle name="常规 5 3 15" xfId="2636"/>
    <cellStyle name="常规 5 3 20" xfId="2637"/>
    <cellStyle name="常规 7 3 8" xfId="2638"/>
    <cellStyle name="千位分隔 2 6 13" xfId="2639"/>
    <cellStyle name="常规 5 3 16" xfId="2640"/>
    <cellStyle name="常规 5 3 21" xfId="2641"/>
    <cellStyle name="常规 7 3 9" xfId="2642"/>
    <cellStyle name="千位分隔 2 6 14" xfId="2643"/>
    <cellStyle name="常规 5 3 17" xfId="2644"/>
    <cellStyle name="常规 5 3 22" xfId="2645"/>
    <cellStyle name="千位分隔 2 6 15" xfId="2646"/>
    <cellStyle name="千位分隔 2 6 20" xfId="2647"/>
    <cellStyle name="常规 5 3 18" xfId="2648"/>
    <cellStyle name="常规 5 3 23" xfId="2649"/>
    <cellStyle name="千位分隔 2 6 16" xfId="2650"/>
    <cellStyle name="千位分隔 2 6 21" xfId="2651"/>
    <cellStyle name="常规 5 3 19" xfId="2652"/>
    <cellStyle name="常规 5 3 24" xfId="2653"/>
    <cellStyle name="千位分隔 2 6 17" xfId="2654"/>
    <cellStyle name="千位分隔 2 6 22" xfId="2655"/>
    <cellStyle name="常规 5 3 2" xfId="2656"/>
    <cellStyle name="常规 5 3 25" xfId="2657"/>
    <cellStyle name="常规 5 3 30" xfId="2658"/>
    <cellStyle name="千位分隔 2 6 18" xfId="2659"/>
    <cellStyle name="千位分隔 2 6 23" xfId="2660"/>
    <cellStyle name="常规 5 3 26" xfId="2661"/>
    <cellStyle name="常规 5 3 31" xfId="2662"/>
    <cellStyle name="千位分隔 2 6 19" xfId="2663"/>
    <cellStyle name="千位分隔 2 6 24" xfId="2664"/>
    <cellStyle name="常规 5 3 27" xfId="2665"/>
    <cellStyle name="常规 5 3 32" xfId="2666"/>
    <cellStyle name="千位分隔 2 6 25" xfId="2667"/>
    <cellStyle name="千位分隔 2 6 30" xfId="2668"/>
    <cellStyle name="常规 5 3 28" xfId="2669"/>
    <cellStyle name="常规 5 3 33" xfId="2670"/>
    <cellStyle name="千位分隔 2 6 26" xfId="2671"/>
    <cellStyle name="千位分隔 2 6 31" xfId="2672"/>
    <cellStyle name="常规 5 3 29" xfId="2673"/>
    <cellStyle name="常规 5 3 34" xfId="2674"/>
    <cellStyle name="千位分隔 2 6 27" xfId="2675"/>
    <cellStyle name="千位分隔 2 6 32" xfId="2676"/>
    <cellStyle name="常规 5 3 3" xfId="2677"/>
    <cellStyle name="常规 5 3 35" xfId="2678"/>
    <cellStyle name="千位分隔 2 6 28" xfId="2679"/>
    <cellStyle name="千位分隔 2 6 33" xfId="2680"/>
    <cellStyle name="常规 5 3 36" xfId="2681"/>
    <cellStyle name="千位分隔 2 6 29" xfId="2682"/>
    <cellStyle name="千位分隔 2 6 34" xfId="2683"/>
    <cellStyle name="常规 5 3 4" xfId="2684"/>
    <cellStyle name="常规 5 3 5" xfId="2685"/>
    <cellStyle name="常规 5 3 6" xfId="2686"/>
    <cellStyle name="常规 5 3 7" xfId="2687"/>
    <cellStyle name="常规 5 3 8" xfId="2688"/>
    <cellStyle name="常规 5 3 9" xfId="2689"/>
    <cellStyle name="常规 5 57" xfId="2690"/>
    <cellStyle name="常规 5 62" xfId="2691"/>
    <cellStyle name="常规 5 58" xfId="2692"/>
    <cellStyle name="常规 5 63" xfId="2693"/>
    <cellStyle name="常规 5 59" xfId="2694"/>
    <cellStyle name="常规 5 64" xfId="2695"/>
    <cellStyle name="常规 5 65" xfId="2696"/>
    <cellStyle name="常规 55" xfId="2697"/>
    <cellStyle name="常规 60" xfId="2698"/>
    <cellStyle name="常规 56" xfId="2699"/>
    <cellStyle name="常规 61" xfId="2700"/>
    <cellStyle name="常规 57" xfId="2701"/>
    <cellStyle name="常规 62" xfId="2702"/>
    <cellStyle name="常规 58" xfId="2703"/>
    <cellStyle name="常规 63" xfId="2704"/>
    <cellStyle name="常规 59" xfId="2705"/>
    <cellStyle name="常规 64" xfId="2706"/>
    <cellStyle name="常规 6" xfId="2707"/>
    <cellStyle name="常规 6 10" xfId="2708"/>
    <cellStyle name="常规 6 11" xfId="2709"/>
    <cellStyle name="常规 6 12" xfId="2710"/>
    <cellStyle name="常规 6 13" xfId="2711"/>
    <cellStyle name="常规 6 14" xfId="2712"/>
    <cellStyle name="常规 6 15" xfId="2713"/>
    <cellStyle name="常规 6 20" xfId="2714"/>
    <cellStyle name="常规 6 16" xfId="2715"/>
    <cellStyle name="常规 6 21" xfId="2716"/>
    <cellStyle name="常规 6 17" xfId="2717"/>
    <cellStyle name="常规 6 22" xfId="2718"/>
    <cellStyle name="常规 6 18" xfId="2719"/>
    <cellStyle name="常规 6 23" xfId="2720"/>
    <cellStyle name="常规 6 2" xfId="2721"/>
    <cellStyle name="千位分隔 11 13" xfId="2722"/>
    <cellStyle name="常规 6 3" xfId="2723"/>
    <cellStyle name="千位分隔 11 14" xfId="2724"/>
    <cellStyle name="常规 6 3 10" xfId="2725"/>
    <cellStyle name="常规 6 3 11" xfId="2726"/>
    <cellStyle name="常规 6 3 12" xfId="2727"/>
    <cellStyle name="常规 6 3 13" xfId="2728"/>
    <cellStyle name="常规 6 3 2" xfId="2729"/>
    <cellStyle name="常规 6 3 28" xfId="2730"/>
    <cellStyle name="常规 6 3 33" xfId="2731"/>
    <cellStyle name="常规 6 3 29" xfId="2732"/>
    <cellStyle name="常规 6 3 34" xfId="2733"/>
    <cellStyle name="常规 6 3 3" xfId="2734"/>
    <cellStyle name="常规 6 3 35" xfId="2735"/>
    <cellStyle name="常规 6 3 36" xfId="2736"/>
    <cellStyle name="常规 6 3 4" xfId="2737"/>
    <cellStyle name="常规 6 3 5" xfId="2738"/>
    <cellStyle name="常规 6 3 6" xfId="2739"/>
    <cellStyle name="常规 6 3 7" xfId="2740"/>
    <cellStyle name="常规 6 3 8" xfId="2741"/>
    <cellStyle name="常规 6 3 9" xfId="2742"/>
    <cellStyle name="常规 6 57" xfId="2743"/>
    <cellStyle name="常规 6 62" xfId="2744"/>
    <cellStyle name="常规 6 58" xfId="2745"/>
    <cellStyle name="常规 6 63" xfId="2746"/>
    <cellStyle name="常规 6 59" xfId="2747"/>
    <cellStyle name="常规 6 64" xfId="2748"/>
    <cellStyle name="常规 6 65" xfId="2749"/>
    <cellStyle name="常规 65" xfId="2750"/>
    <cellStyle name="常规 70" xfId="2751"/>
    <cellStyle name="常规 66" xfId="2752"/>
    <cellStyle name="常规 71" xfId="2753"/>
    <cellStyle name="常规 67" xfId="2754"/>
    <cellStyle name="常规 72" xfId="2755"/>
    <cellStyle name="常规 68" xfId="2756"/>
    <cellStyle name="常规 73" xfId="2757"/>
    <cellStyle name="常规 69" xfId="2758"/>
    <cellStyle name="常规 74" xfId="2759"/>
    <cellStyle name="常规 7" xfId="2760"/>
    <cellStyle name="常规 7 10" xfId="2761"/>
    <cellStyle name="千位分隔 2 6 6" xfId="2762"/>
    <cellStyle name="常规 7 11" xfId="2763"/>
    <cellStyle name="千位分隔 2 6 7" xfId="2764"/>
    <cellStyle name="常规 7 12" xfId="2765"/>
    <cellStyle name="千位分隔 2 6 8" xfId="2766"/>
    <cellStyle name="常规 7 13" xfId="2767"/>
    <cellStyle name="千位分隔 2 6 9" xfId="2768"/>
    <cellStyle name="常规 7 14" xfId="2769"/>
    <cellStyle name="常规 7 15" xfId="2770"/>
    <cellStyle name="常规 7 20" xfId="2771"/>
    <cellStyle name="常规 7 16" xfId="2772"/>
    <cellStyle name="常规 7 21" xfId="2773"/>
    <cellStyle name="常规 7 17" xfId="2774"/>
    <cellStyle name="常规 7 22" xfId="2775"/>
    <cellStyle name="常规 7 18" xfId="2776"/>
    <cellStyle name="常规 7 23" xfId="2777"/>
    <cellStyle name="常规 7 19" xfId="2778"/>
    <cellStyle name="常规 7 24" xfId="2779"/>
    <cellStyle name="常规 7 2" xfId="2780"/>
    <cellStyle name="常规 7 3" xfId="2781"/>
    <cellStyle name="常规 7 3 10" xfId="2782"/>
    <cellStyle name="常规 7 3 11" xfId="2783"/>
    <cellStyle name="常规 7 3 12" xfId="2784"/>
    <cellStyle name="常规 7 3 13" xfId="2785"/>
    <cellStyle name="常规 7 3 14" xfId="2786"/>
    <cellStyle name="常规 7 3 15" xfId="2787"/>
    <cellStyle name="常规 7 3 20" xfId="2788"/>
    <cellStyle name="常规 7 3 16" xfId="2789"/>
    <cellStyle name="常规 7 3 21" xfId="2790"/>
    <cellStyle name="常规 7 3 17" xfId="2791"/>
    <cellStyle name="常规 7 3 22" xfId="2792"/>
    <cellStyle name="常规 7 3 18" xfId="2793"/>
    <cellStyle name="常规 7 3 23" xfId="2794"/>
    <cellStyle name="常规 7 3 19" xfId="2795"/>
    <cellStyle name="常规 7 3 24" xfId="2796"/>
    <cellStyle name="常规 7 3 2" xfId="2797"/>
    <cellStyle name="常规 7 3 25" xfId="2798"/>
    <cellStyle name="常规 7 3 30" xfId="2799"/>
    <cellStyle name="常规 7 3 26" xfId="2800"/>
    <cellStyle name="常规 7 3 31" xfId="2801"/>
    <cellStyle name="常规 7 3 27" xfId="2802"/>
    <cellStyle name="常规 7 3 32" xfId="2803"/>
    <cellStyle name="常规 7 3 28" xfId="2804"/>
    <cellStyle name="常规 7 3 33" xfId="2805"/>
    <cellStyle name="常规 7 57" xfId="2806"/>
    <cellStyle name="常规 7 62" xfId="2807"/>
    <cellStyle name="千位分隔 2 7 8" xfId="2808"/>
    <cellStyle name="常规 7 58" xfId="2809"/>
    <cellStyle name="常规 7 63" xfId="2810"/>
    <cellStyle name="千位分隔 2 7 9" xfId="2811"/>
    <cellStyle name="常规 7 59" xfId="2812"/>
    <cellStyle name="常规 7 64" xfId="2813"/>
    <cellStyle name="常规 7 65" xfId="2814"/>
    <cellStyle name="常规 75" xfId="2815"/>
    <cellStyle name="常规 80" xfId="2816"/>
    <cellStyle name="常规 76" xfId="2817"/>
    <cellStyle name="常规 81" xfId="2818"/>
    <cellStyle name="常规 77" xfId="2819"/>
    <cellStyle name="常规 82" xfId="2820"/>
    <cellStyle name="常规 78" xfId="2821"/>
    <cellStyle name="常规 83" xfId="2822"/>
    <cellStyle name="常规 79" xfId="2823"/>
    <cellStyle name="常规 84" xfId="2824"/>
    <cellStyle name="常规 8" xfId="2825"/>
    <cellStyle name="常规 8 10" xfId="2826"/>
    <cellStyle name="常规 8 11" xfId="2827"/>
    <cellStyle name="常规 8 12" xfId="2828"/>
    <cellStyle name="常规 8 13" xfId="2829"/>
    <cellStyle name="常规 8 14" xfId="2830"/>
    <cellStyle name="常规 8 15" xfId="2831"/>
    <cellStyle name="常规 8 20" xfId="2832"/>
    <cellStyle name="常规 8 16" xfId="2833"/>
    <cellStyle name="常规 8 21" xfId="2834"/>
    <cellStyle name="常规 8 17" xfId="2835"/>
    <cellStyle name="常规 8 22" xfId="2836"/>
    <cellStyle name="常规 8 18" xfId="2837"/>
    <cellStyle name="常规 8 23" xfId="2838"/>
    <cellStyle name="常规 8 19" xfId="2839"/>
    <cellStyle name="常规 8 24" xfId="2840"/>
    <cellStyle name="常规 8 2" xfId="2841"/>
    <cellStyle name="常规 8 2 2" xfId="2842"/>
    <cellStyle name="常规 8 3" xfId="2843"/>
    <cellStyle name="常规 8 57" xfId="2844"/>
    <cellStyle name="常规 8 62" xfId="2845"/>
    <cellStyle name="常规 8 58" xfId="2846"/>
    <cellStyle name="常规 8 63" xfId="2847"/>
    <cellStyle name="常规 8 59" xfId="2848"/>
    <cellStyle name="常规 86" xfId="2849"/>
    <cellStyle name="常规 91" xfId="2850"/>
    <cellStyle name="常规 87" xfId="2851"/>
    <cellStyle name="常规 92" xfId="2852"/>
    <cellStyle name="常规 88" xfId="2853"/>
    <cellStyle name="常规 93" xfId="2854"/>
    <cellStyle name="常规 89" xfId="2855"/>
    <cellStyle name="常规 94" xfId="2856"/>
    <cellStyle name="常规 9" xfId="2857"/>
    <cellStyle name="常规 9 10" xfId="2858"/>
    <cellStyle name="常规 9 11" xfId="2859"/>
    <cellStyle name="常规 9 12" xfId="2860"/>
    <cellStyle name="常规 9 13" xfId="2861"/>
    <cellStyle name="常规 9 14" xfId="2862"/>
    <cellStyle name="常规 9 15" xfId="2863"/>
    <cellStyle name="常规 9 20" xfId="2864"/>
    <cellStyle name="常规 9 16" xfId="2865"/>
    <cellStyle name="常规 9 21" xfId="2866"/>
    <cellStyle name="常规 9 17" xfId="2867"/>
    <cellStyle name="常规 9 22" xfId="2868"/>
    <cellStyle name="常规 9 18" xfId="2869"/>
    <cellStyle name="常规 9 23" xfId="2870"/>
    <cellStyle name="常规 9 19" xfId="2871"/>
    <cellStyle name="常规 9 24" xfId="2872"/>
    <cellStyle name="常规 9 57" xfId="2873"/>
    <cellStyle name="常规 9 62" xfId="2874"/>
    <cellStyle name="常规 9 58" xfId="2875"/>
    <cellStyle name="常规 9 63" xfId="2876"/>
    <cellStyle name="常规 9 59" xfId="2877"/>
    <cellStyle name="常规 95" xfId="2878"/>
    <cellStyle name="常规 96" xfId="2879"/>
    <cellStyle name="常规 97" xfId="2880"/>
    <cellStyle name="常规 98" xfId="2881"/>
    <cellStyle name="常规 99" xfId="2882"/>
    <cellStyle name="常规_Sheet1" xfId="2883"/>
    <cellStyle name="千位分隔 11 10" xfId="2884"/>
    <cellStyle name="千位分隔 11 11" xfId="2885"/>
    <cellStyle name="千位分隔 11 12" xfId="2886"/>
    <cellStyle name="千位分隔 15 10" xfId="2887"/>
    <cellStyle name="千位分隔 15 11" xfId="2888"/>
    <cellStyle name="千位分隔 6 2" xfId="2889"/>
    <cellStyle name="千位分隔 15 12" xfId="2890"/>
    <cellStyle name="千位分隔 6 3" xfId="2891"/>
    <cellStyle name="千位分隔 15 13" xfId="2892"/>
    <cellStyle name="千位分隔 6 4" xfId="2893"/>
    <cellStyle name="千位分隔 15 14" xfId="2894"/>
    <cellStyle name="千位分隔 6 5" xfId="2895"/>
    <cellStyle name="千位分隔 15 15" xfId="2896"/>
    <cellStyle name="千位分隔 15 20" xfId="2897"/>
    <cellStyle name="千位分隔 6 6" xfId="2898"/>
    <cellStyle name="千位分隔 15 16" xfId="2899"/>
    <cellStyle name="千位分隔 15 21" xfId="2900"/>
    <cellStyle name="千位分隔 6 7" xfId="2901"/>
    <cellStyle name="千位分隔 15 17" xfId="2902"/>
    <cellStyle name="千位分隔 15 22" xfId="2903"/>
    <cellStyle name="千位分隔 6 8" xfId="2904"/>
    <cellStyle name="千位分隔 15 18" xfId="2905"/>
    <cellStyle name="千位分隔 15 23" xfId="2906"/>
    <cellStyle name="千位分隔 6 9" xfId="2907"/>
    <cellStyle name="千位分隔 15 2" xfId="2908"/>
    <cellStyle name="千位分隔 15 3" xfId="2909"/>
    <cellStyle name="千位分隔 15 4" xfId="2910"/>
    <cellStyle name="千位分隔 15 5" xfId="2911"/>
    <cellStyle name="千位分隔 15 6" xfId="2912"/>
    <cellStyle name="千位分隔 15 7" xfId="2913"/>
    <cellStyle name="千位分隔 15 8" xfId="2914"/>
    <cellStyle name="千位分隔 15 9" xfId="2915"/>
    <cellStyle name="千位分隔 16 10" xfId="2916"/>
    <cellStyle name="千位分隔 16 11" xfId="2917"/>
    <cellStyle name="千位分隔 16 12" xfId="2918"/>
    <cellStyle name="千位分隔 16 13" xfId="2919"/>
    <cellStyle name="千位分隔 16 14" xfId="2920"/>
    <cellStyle name="千位分隔 16 15" xfId="2921"/>
    <cellStyle name="千位分隔 16 20" xfId="2922"/>
    <cellStyle name="千位分隔 16 16" xfId="2923"/>
    <cellStyle name="千位分隔 16 21" xfId="2924"/>
    <cellStyle name="千位分隔 16 17" xfId="2925"/>
    <cellStyle name="千位分隔 16 22" xfId="2926"/>
    <cellStyle name="千位分隔 16 18" xfId="2927"/>
    <cellStyle name="千位分隔 16 23" xfId="2928"/>
    <cellStyle name="千位分隔 16 19" xfId="2929"/>
    <cellStyle name="千位分隔 2" xfId="2930"/>
    <cellStyle name="千位分隔 2 2" xfId="2931"/>
    <cellStyle name="千位分隔 2 3" xfId="2932"/>
    <cellStyle name="千位分隔 2 3 10" xfId="2933"/>
    <cellStyle name="千位分隔 38 7" xfId="2934"/>
    <cellStyle name="千位分隔 2 3 11" xfId="2935"/>
    <cellStyle name="千位分隔 38 8" xfId="2936"/>
    <cellStyle name="千位分隔 2 3 12" xfId="2937"/>
    <cellStyle name="千位分隔 38 9" xfId="2938"/>
    <cellStyle name="千位分隔 2 3 13" xfId="2939"/>
    <cellStyle name="千位分隔 2 3 14" xfId="2940"/>
    <cellStyle name="千位分隔 2 3 15" xfId="2941"/>
    <cellStyle name="千位分隔 2 3 20" xfId="2942"/>
    <cellStyle name="千位分隔 2 3 16" xfId="2943"/>
    <cellStyle name="千位分隔 2 3 21" xfId="2944"/>
    <cellStyle name="千位分隔 2 3 17" xfId="2945"/>
    <cellStyle name="千位分隔 2 3 22" xfId="2946"/>
    <cellStyle name="千位分隔 2 3 18" xfId="2947"/>
    <cellStyle name="千位分隔 2 3 23" xfId="2948"/>
    <cellStyle name="千位分隔 2 3 19" xfId="2949"/>
    <cellStyle name="千位分隔 2 3 24" xfId="2950"/>
    <cellStyle name="千位分隔 2 3 25" xfId="2951"/>
    <cellStyle name="千位分隔 2 3 30" xfId="2952"/>
    <cellStyle name="千位分隔 2 3 26" xfId="2953"/>
    <cellStyle name="千位分隔 2 3 31" xfId="2954"/>
    <cellStyle name="千位分隔 2 3 27" xfId="2955"/>
    <cellStyle name="千位分隔 2 3 32" xfId="2956"/>
    <cellStyle name="千位分隔 2 3 28" xfId="2957"/>
    <cellStyle name="千位分隔 2 3 33" xfId="2958"/>
    <cellStyle name="千位分隔 2 3 29" xfId="2959"/>
    <cellStyle name="千位分隔 2 3 34" xfId="2960"/>
    <cellStyle name="千位分隔 2 3 35" xfId="2961"/>
    <cellStyle name="千位分隔 2 3 36" xfId="2962"/>
    <cellStyle name="千位分隔 2 3 6" xfId="2963"/>
    <cellStyle name="千位分隔 2 3 7" xfId="2964"/>
    <cellStyle name="千位分隔 2 3 8" xfId="2965"/>
    <cellStyle name="千位分隔 2 3 9" xfId="2966"/>
    <cellStyle name="千位分隔 2 35" xfId="2967"/>
    <cellStyle name="千位分隔 2 40" xfId="2968"/>
    <cellStyle name="千位分隔 2 36" xfId="2969"/>
    <cellStyle name="千位分隔 2 41" xfId="2970"/>
    <cellStyle name="千位分隔 2 37" xfId="2971"/>
    <cellStyle name="千位分隔 2 42" xfId="2972"/>
    <cellStyle name="千位分隔 2 38" xfId="2973"/>
    <cellStyle name="千位分隔 2 43" xfId="2974"/>
    <cellStyle name="千位分隔 2 39" xfId="2975"/>
    <cellStyle name="千位分隔 2 44" xfId="2976"/>
    <cellStyle name="千位分隔 2 4" xfId="2977"/>
    <cellStyle name="千位分隔 2 4 10" xfId="2978"/>
    <cellStyle name="千位分隔 2 4 11" xfId="2979"/>
    <cellStyle name="千位分隔 2 4 12" xfId="2980"/>
    <cellStyle name="千位分隔 2 4 13" xfId="2981"/>
    <cellStyle name="千位分隔 2 4 14" xfId="2982"/>
    <cellStyle name="千位分隔 2 4 15" xfId="2983"/>
    <cellStyle name="千位分隔 2 4 20" xfId="2984"/>
    <cellStyle name="千位分隔 2 4 16" xfId="2985"/>
    <cellStyle name="千位分隔 2 4 21" xfId="2986"/>
    <cellStyle name="千位分隔 2 4 17" xfId="2987"/>
    <cellStyle name="千位分隔 2 4 22" xfId="2988"/>
    <cellStyle name="千位分隔 2 4 18" xfId="2989"/>
    <cellStyle name="千位分隔 2 4 23" xfId="2990"/>
    <cellStyle name="千位分隔 2 4 19" xfId="2991"/>
    <cellStyle name="千位分隔 2 4 24" xfId="2992"/>
    <cellStyle name="千位分隔 2 4 2" xfId="2993"/>
    <cellStyle name="千位分隔 2 4 25" xfId="2994"/>
    <cellStyle name="千位分隔 2 4 30" xfId="2995"/>
    <cellStyle name="千位分隔 2 4 26" xfId="2996"/>
    <cellStyle name="千位分隔 2 4 31" xfId="2997"/>
    <cellStyle name="千位分隔 2 4 27" xfId="2998"/>
    <cellStyle name="千位分隔 2 4 32" xfId="2999"/>
    <cellStyle name="千位分隔 2 4 28" xfId="3000"/>
    <cellStyle name="千位分隔 2 4 33" xfId="3001"/>
    <cellStyle name="千位分隔 2 4 29" xfId="3002"/>
    <cellStyle name="千位分隔 2 4 34" xfId="3003"/>
    <cellStyle name="千位分隔 2 4 3" xfId="3004"/>
    <cellStyle name="千位分隔 2 4 4" xfId="3005"/>
    <cellStyle name="千位分隔 2 4 5" xfId="3006"/>
    <cellStyle name="千位分隔 2 4 6" xfId="3007"/>
    <cellStyle name="千位分隔 2 4 7" xfId="3008"/>
    <cellStyle name="千位分隔 2 4 8" xfId="3009"/>
    <cellStyle name="千位分隔 2 4 9" xfId="3010"/>
    <cellStyle name="千位分隔 2 45" xfId="3011"/>
    <cellStyle name="千位分隔 2 50" xfId="3012"/>
    <cellStyle name="千位分隔 2 46" xfId="3013"/>
    <cellStyle name="千位分隔 2 51" xfId="3014"/>
    <cellStyle name="千位分隔 2 47" xfId="3015"/>
    <cellStyle name="千位分隔 2 52" xfId="3016"/>
    <cellStyle name="千位分隔 2 48" xfId="3017"/>
    <cellStyle name="千位分隔 2 53" xfId="3018"/>
    <cellStyle name="千位分隔 2 49" xfId="3019"/>
    <cellStyle name="千位分隔 2 54" xfId="3020"/>
    <cellStyle name="千位分隔 2 5" xfId="3021"/>
    <cellStyle name="千位分隔 2 5 10" xfId="3022"/>
    <cellStyle name="千位分隔 2 5 11" xfId="3023"/>
    <cellStyle name="千位分隔 2 5 12" xfId="3024"/>
    <cellStyle name="千位分隔 2 5 13" xfId="3025"/>
    <cellStyle name="千位分隔 2 5 14" xfId="3026"/>
    <cellStyle name="千位分隔 2 5 15" xfId="3027"/>
    <cellStyle name="千位分隔 2 5 20" xfId="3028"/>
    <cellStyle name="千位分隔 2 5 16" xfId="3029"/>
    <cellStyle name="千位分隔 2 5 21" xfId="3030"/>
    <cellStyle name="千位分隔 2 5 17" xfId="3031"/>
    <cellStyle name="千位分隔 2 5 22" xfId="3032"/>
    <cellStyle name="千位分隔 2 5 18" xfId="3033"/>
    <cellStyle name="千位分隔 2 5 23" xfId="3034"/>
    <cellStyle name="千位分隔 2 5 19" xfId="3035"/>
    <cellStyle name="千位分隔 2 5 24" xfId="3036"/>
    <cellStyle name="千位分隔 2 5 25" xfId="3037"/>
    <cellStyle name="千位分隔 2 5 30" xfId="3038"/>
    <cellStyle name="千位分隔 2 5 26" xfId="3039"/>
    <cellStyle name="千位分隔 2 5 31" xfId="3040"/>
    <cellStyle name="千位分隔 2 5 27" xfId="3041"/>
    <cellStyle name="千位分隔 2 5 32" xfId="3042"/>
    <cellStyle name="千位分隔 2 5 28" xfId="3043"/>
    <cellStyle name="千位分隔 2 5 33" xfId="3044"/>
    <cellStyle name="千位分隔 2 5 29" xfId="3045"/>
    <cellStyle name="千位分隔 2 5 34" xfId="3046"/>
    <cellStyle name="千位分隔 2 5 35" xfId="3047"/>
    <cellStyle name="千位分隔 2 5 36" xfId="3048"/>
    <cellStyle name="千位分隔 2 5 7" xfId="3049"/>
    <cellStyle name="千位分隔 2 5 8" xfId="3050"/>
    <cellStyle name="千位分隔 2 5 9" xfId="3051"/>
    <cellStyle name="千位分隔 2 55" xfId="3052"/>
    <cellStyle name="千位分隔 2 60" xfId="3053"/>
    <cellStyle name="千位分隔 2 56" xfId="3054"/>
    <cellStyle name="千位分隔 2 61" xfId="3055"/>
    <cellStyle name="千位分隔 2 57" xfId="3056"/>
    <cellStyle name="千位分隔 2 62" xfId="3057"/>
    <cellStyle name="千位分隔 2 6" xfId="3058"/>
    <cellStyle name="千位分隔 2 6 2" xfId="3059"/>
    <cellStyle name="千位分隔 2 6 3" xfId="3060"/>
    <cellStyle name="千位分隔 2 6 35" xfId="3061"/>
    <cellStyle name="千位分隔 2 6 36" xfId="3062"/>
    <cellStyle name="千位分隔 2 6 4" xfId="3063"/>
    <cellStyle name="千位分隔 2 6 5" xfId="3064"/>
    <cellStyle name="千位分隔 2 7" xfId="3065"/>
    <cellStyle name="千位分隔 2 7 10" xfId="3066"/>
    <cellStyle name="千位分隔 2 7 11" xfId="3067"/>
    <cellStyle name="千位分隔 2 7 12" xfId="3068"/>
    <cellStyle name="千位分隔 2 7 13" xfId="3069"/>
    <cellStyle name="千位分隔 2 7 14" xfId="3070"/>
    <cellStyle name="千位分隔 2 7 15" xfId="3071"/>
    <cellStyle name="千位分隔 2 7 20" xfId="3072"/>
    <cellStyle name="千位分隔 2 7 16" xfId="3073"/>
    <cellStyle name="千位分隔 2 7 21" xfId="3074"/>
    <cellStyle name="千位分隔 2 7 17" xfId="3075"/>
    <cellStyle name="千位分隔 2 7 22" xfId="3076"/>
    <cellStyle name="千位分隔 2 7 18" xfId="3077"/>
    <cellStyle name="千位分隔 2 7 23" xfId="3078"/>
    <cellStyle name="千位分隔 2 7 19" xfId="3079"/>
    <cellStyle name="千位分隔 2 7 24" xfId="3080"/>
    <cellStyle name="千位分隔 2 7 25" xfId="3081"/>
    <cellStyle name="千位分隔 2 7 30" xfId="3082"/>
    <cellStyle name="千位分隔 2 7 26" xfId="3083"/>
    <cellStyle name="千位分隔 2 7 31" xfId="3084"/>
    <cellStyle name="千位分隔 2 7 27" xfId="3085"/>
    <cellStyle name="千位分隔 2 7 32" xfId="3086"/>
    <cellStyle name="千位分隔 2 7 28" xfId="3087"/>
    <cellStyle name="千位分隔 2 7 33" xfId="3088"/>
    <cellStyle name="千位分隔 2 7 29" xfId="3089"/>
    <cellStyle name="千位分隔 2 7 34" xfId="3090"/>
    <cellStyle name="千位分隔 2 7 35" xfId="3091"/>
    <cellStyle name="千位分隔 2 7 36" xfId="3092"/>
    <cellStyle name="千位分隔 2 8" xfId="3093"/>
    <cellStyle name="千位分隔 2 8 10" xfId="3094"/>
    <cellStyle name="千位分隔 2 8 11" xfId="3095"/>
    <cellStyle name="千位分隔 2 8 12" xfId="3096"/>
    <cellStyle name="千位分隔 2 8 13" xfId="3097"/>
    <cellStyle name="千位分隔 2 8 14" xfId="3098"/>
    <cellStyle name="千位分隔 2 8 15" xfId="3099"/>
    <cellStyle name="千位分隔 2 8 20" xfId="3100"/>
    <cellStyle name="千位分隔 2 8 16" xfId="3101"/>
    <cellStyle name="千位分隔 2 8 21" xfId="3102"/>
    <cellStyle name="千位分隔 2 8 17" xfId="3103"/>
    <cellStyle name="千位分隔 2 8 22" xfId="3104"/>
    <cellStyle name="千位分隔 2 8 18" xfId="3105"/>
    <cellStyle name="千位分隔 2 8 23" xfId="3106"/>
    <cellStyle name="千位分隔 2 8 19" xfId="3107"/>
    <cellStyle name="千位分隔 2 8 24" xfId="3108"/>
    <cellStyle name="千位分隔 2 8 25" xfId="3109"/>
    <cellStyle name="千位分隔 2 8 30" xfId="3110"/>
    <cellStyle name="千位分隔 2 8 26" xfId="3111"/>
    <cellStyle name="千位分隔 2 8 31" xfId="3112"/>
    <cellStyle name="千位分隔 2 8 27" xfId="3113"/>
    <cellStyle name="千位分隔 2 8 32" xfId="3114"/>
    <cellStyle name="千位分隔 2 8 28" xfId="3115"/>
    <cellStyle name="千位分隔 2 8 33" xfId="3116"/>
    <cellStyle name="千位分隔 2 8 29" xfId="3117"/>
    <cellStyle name="千位分隔 2 8 34" xfId="3118"/>
    <cellStyle name="千位分隔 2 8 35" xfId="3119"/>
    <cellStyle name="千位分隔 2 8 36" xfId="3120"/>
    <cellStyle name="千位分隔 2 8 6" xfId="3121"/>
    <cellStyle name="千位分隔 2 8 7" xfId="3122"/>
    <cellStyle name="千位分隔 2 8 8" xfId="3123"/>
    <cellStyle name="千位分隔 2 8 9" xfId="3124"/>
    <cellStyle name="千位分隔 2 9" xfId="3125"/>
    <cellStyle name="千位分隔 2 9 10" xfId="3126"/>
    <cellStyle name="千位分隔 2 9 11" xfId="3127"/>
    <cellStyle name="千位分隔 2 9 12" xfId="3128"/>
    <cellStyle name="千位分隔 2 9 13" xfId="3129"/>
    <cellStyle name="千位分隔 2 9 14" xfId="3130"/>
    <cellStyle name="千位分隔 2 9 15" xfId="3131"/>
    <cellStyle name="千位分隔 2 9 20" xfId="3132"/>
    <cellStyle name="千位分隔 2 9 16" xfId="3133"/>
    <cellStyle name="千位分隔 2 9 21" xfId="3134"/>
    <cellStyle name="千位分隔 2 9 17" xfId="3135"/>
    <cellStyle name="千位分隔 2 9 22" xfId="3136"/>
    <cellStyle name="千位分隔 2 9 18" xfId="3137"/>
    <cellStyle name="千位分隔 2 9 23" xfId="3138"/>
    <cellStyle name="千位分隔 2 9 19" xfId="3139"/>
    <cellStyle name="千位分隔 2 9 24" xfId="3140"/>
    <cellStyle name="千位分隔 2 9 2" xfId="3141"/>
    <cellStyle name="千位分隔 2 9 25" xfId="3142"/>
    <cellStyle name="千位分隔 2 9 30" xfId="3143"/>
    <cellStyle name="千位分隔 2 9 26" xfId="3144"/>
    <cellStyle name="千位分隔 2 9 31" xfId="3145"/>
    <cellStyle name="千位分隔 2 9 27" xfId="3146"/>
    <cellStyle name="千位分隔 2 9 32" xfId="3147"/>
    <cellStyle name="千位分隔 2 9 28" xfId="3148"/>
    <cellStyle name="千位分隔 2 9 33" xfId="3149"/>
    <cellStyle name="千位分隔 2 9 29" xfId="3150"/>
    <cellStyle name="千位分隔 2 9 34" xfId="3151"/>
    <cellStyle name="千位分隔 2 9 3" xfId="3152"/>
    <cellStyle name="千位分隔 2 9 35" xfId="3153"/>
    <cellStyle name="千位分隔 2 9 36" xfId="3154"/>
    <cellStyle name="千位分隔 2 9 4" xfId="3155"/>
    <cellStyle name="千位分隔 2 9 5" xfId="3156"/>
    <cellStyle name="千位分隔 2 9 6" xfId="3157"/>
    <cellStyle name="千位分隔 2 9 7" xfId="3158"/>
    <cellStyle name="千位分隔 2 9 8" xfId="3159"/>
    <cellStyle name="千位分隔 2 9 9" xfId="3160"/>
    <cellStyle name="千位分隔 3" xfId="3161"/>
    <cellStyle name="千位分隔 3 10" xfId="3162"/>
    <cellStyle name="千位分隔 3 11" xfId="3163"/>
    <cellStyle name="千位分隔 3 12" xfId="3164"/>
    <cellStyle name="千位分隔 3 13" xfId="3165"/>
    <cellStyle name="千位分隔 3 14" xfId="3166"/>
    <cellStyle name="千位分隔 3 15" xfId="3167"/>
    <cellStyle name="千位分隔 3 20" xfId="3168"/>
    <cellStyle name="千位分隔 3 16" xfId="3169"/>
    <cellStyle name="千位分隔 3 21" xfId="3170"/>
    <cellStyle name="千位分隔 3 17" xfId="3171"/>
    <cellStyle name="千位分隔 3 22" xfId="3172"/>
    <cellStyle name="千位分隔 3 18" xfId="3173"/>
    <cellStyle name="千位分隔 3 23" xfId="3174"/>
    <cellStyle name="千位分隔 3 19" xfId="3175"/>
    <cellStyle name="千位分隔 3 24" xfId="3176"/>
    <cellStyle name="千位分隔 3 2" xfId="3177"/>
    <cellStyle name="千位分隔 3 25" xfId="3178"/>
    <cellStyle name="千位分隔 3 30" xfId="3179"/>
    <cellStyle name="千位分隔 3 26" xfId="3180"/>
    <cellStyle name="千位分隔 3 31" xfId="3181"/>
    <cellStyle name="千位分隔 3 27" xfId="3182"/>
    <cellStyle name="千位分隔 3 32" xfId="3183"/>
    <cellStyle name="千位分隔 3 28" xfId="3184"/>
    <cellStyle name="千位分隔 3 33" xfId="3185"/>
    <cellStyle name="千位分隔 3 29" xfId="3186"/>
    <cellStyle name="千位分隔 3 34" xfId="3187"/>
    <cellStyle name="千位分隔 3 3" xfId="3188"/>
    <cellStyle name="千位分隔 3 3 10" xfId="3189"/>
    <cellStyle name="千位分隔 3 3 11" xfId="3190"/>
    <cellStyle name="千位分隔 3 3 12" xfId="3191"/>
    <cellStyle name="千位分隔 3 3 13" xfId="3192"/>
    <cellStyle name="千位分隔 3 3 14" xfId="3193"/>
    <cellStyle name="千位分隔 3 3 15" xfId="3194"/>
    <cellStyle name="千位分隔 3 3 20" xfId="3195"/>
    <cellStyle name="千位分隔 3 3 16" xfId="3196"/>
    <cellStyle name="千位分隔 3 3 21" xfId="3197"/>
    <cellStyle name="千位分隔 3 3 17" xfId="3198"/>
    <cellStyle name="千位分隔 3 3 22" xfId="3199"/>
    <cellStyle name="千位分隔 3 3 18" xfId="3200"/>
    <cellStyle name="千位分隔 3 3 23" xfId="3201"/>
    <cellStyle name="千位分隔 3 3 19" xfId="3202"/>
    <cellStyle name="千位分隔 3 3 24" xfId="3203"/>
    <cellStyle name="千位分隔 3 3 2" xfId="3204"/>
    <cellStyle name="千位分隔 3 3 25" xfId="3205"/>
    <cellStyle name="千位分隔 3 3 30" xfId="3206"/>
    <cellStyle name="千位分隔 3 3 27" xfId="3207"/>
    <cellStyle name="千位分隔 3 3 32" xfId="3208"/>
    <cellStyle name="千位分隔 3 3 28" xfId="3209"/>
    <cellStyle name="千位分隔 3 3 33" xfId="3210"/>
    <cellStyle name="千位分隔 3 3 29" xfId="3211"/>
    <cellStyle name="千位分隔 3 3 34" xfId="3212"/>
    <cellStyle name="千位分隔 3 3 3" xfId="3213"/>
    <cellStyle name="千位分隔 3 3 35" xfId="3214"/>
    <cellStyle name="千位分隔 3 3 36" xfId="3215"/>
    <cellStyle name="千位分隔 3 3 4" xfId="3216"/>
    <cellStyle name="千位分隔 3 3 5" xfId="3217"/>
    <cellStyle name="千位分隔 3 3 6" xfId="3218"/>
    <cellStyle name="千位分隔 3 3 7" xfId="3219"/>
    <cellStyle name="千位分隔 3 3 8" xfId="3220"/>
    <cellStyle name="千位分隔 3 3 9" xfId="3221"/>
    <cellStyle name="千位分隔 3 35" xfId="3222"/>
    <cellStyle name="千位分隔 3 36" xfId="3223"/>
    <cellStyle name="千位分隔 3 37" xfId="3224"/>
    <cellStyle name="千位分隔 3 38" xfId="3225"/>
    <cellStyle name="千位分隔 3 4" xfId="3226"/>
    <cellStyle name="千位分隔 3 5" xfId="3227"/>
    <cellStyle name="千位分隔 3 6" xfId="3228"/>
    <cellStyle name="千位分隔 3 7" xfId="3229"/>
    <cellStyle name="千位分隔 3 8" xfId="3230"/>
    <cellStyle name="千位分隔 3 9" xfId="3231"/>
    <cellStyle name="千位分隔 35 10" xfId="3232"/>
    <cellStyle name="千位分隔 35 11" xfId="3233"/>
    <cellStyle name="千位分隔 35 12" xfId="3234"/>
    <cellStyle name="千位分隔 35 13" xfId="3235"/>
    <cellStyle name="千位分隔 35 14" xfId="3236"/>
    <cellStyle name="千位分隔 35 15" xfId="3237"/>
    <cellStyle name="千位分隔 35 20" xfId="3238"/>
    <cellStyle name="千位分隔 35 16" xfId="3239"/>
    <cellStyle name="千位分隔 35 21" xfId="3240"/>
    <cellStyle name="千位分隔 35 17" xfId="3241"/>
    <cellStyle name="千位分隔 35 22" xfId="3242"/>
    <cellStyle name="千位分隔 35 18" xfId="3243"/>
    <cellStyle name="千位分隔 35 23" xfId="3244"/>
    <cellStyle name="千位分隔 35 19" xfId="3245"/>
    <cellStyle name="千位分隔 35 2" xfId="3246"/>
    <cellStyle name="千位分隔 35 3" xfId="3247"/>
    <cellStyle name="千位分隔 35 4" xfId="3248"/>
    <cellStyle name="千位分隔 35 5" xfId="3249"/>
    <cellStyle name="千位分隔 35 6" xfId="3250"/>
    <cellStyle name="千位分隔 35 7" xfId="3251"/>
    <cellStyle name="千位分隔 35 8" xfId="3252"/>
    <cellStyle name="千位分隔 35 9" xfId="3253"/>
    <cellStyle name="千位分隔 36 10" xfId="3254"/>
    <cellStyle name="千位分隔 36 11" xfId="3255"/>
    <cellStyle name="千位分隔 36 12" xfId="3256"/>
    <cellStyle name="千位分隔 36 13" xfId="3257"/>
    <cellStyle name="千位分隔 36 14" xfId="3258"/>
    <cellStyle name="千位分隔 36 15" xfId="3259"/>
    <cellStyle name="千位分隔 36 20" xfId="3260"/>
    <cellStyle name="千位分隔 36 16" xfId="3261"/>
    <cellStyle name="千位分隔 36 21" xfId="3262"/>
    <cellStyle name="千位分隔 36 17" xfId="3263"/>
    <cellStyle name="千位分隔 36 22" xfId="3264"/>
    <cellStyle name="千位分隔 36 18" xfId="3265"/>
    <cellStyle name="千位分隔 36 23" xfId="3266"/>
    <cellStyle name="千位分隔 36 19" xfId="3267"/>
    <cellStyle name="千位分隔 37 10" xfId="3268"/>
    <cellStyle name="千位分隔 37 11" xfId="3269"/>
    <cellStyle name="千位分隔 37 12" xfId="3270"/>
    <cellStyle name="千位分隔 37 13" xfId="3271"/>
    <cellStyle name="千位分隔 37 14" xfId="3272"/>
    <cellStyle name="千位分隔 37 15" xfId="3273"/>
    <cellStyle name="千位分隔 37 20" xfId="3274"/>
    <cellStyle name="千位分隔 37 16" xfId="3275"/>
    <cellStyle name="千位分隔 37 21" xfId="3276"/>
    <cellStyle name="千位分隔 37 17" xfId="3277"/>
    <cellStyle name="千位分隔 37 22" xfId="3278"/>
    <cellStyle name="千位分隔 37 18" xfId="3279"/>
    <cellStyle name="千位分隔 37 23" xfId="3280"/>
    <cellStyle name="千位分隔 37 19" xfId="3281"/>
    <cellStyle name="千位分隔 37 2" xfId="3282"/>
    <cellStyle name="千位分隔 37 3" xfId="3283"/>
    <cellStyle name="千位分隔 37 4" xfId="3284"/>
    <cellStyle name="千位分隔 37 5" xfId="3285"/>
    <cellStyle name="千位分隔 37 6" xfId="3286"/>
    <cellStyle name="千位分隔 37 7" xfId="3287"/>
    <cellStyle name="千位分隔 37 8" xfId="3288"/>
    <cellStyle name="千位分隔 37 9" xfId="3289"/>
    <cellStyle name="千位分隔 38 10" xfId="3290"/>
    <cellStyle name="千位分隔 38 11" xfId="3291"/>
    <cellStyle name="千位分隔 38 12" xfId="3292"/>
    <cellStyle name="千位分隔 38 13" xfId="3293"/>
    <cellStyle name="千位分隔 38 14" xfId="3294"/>
    <cellStyle name="千位分隔 38 15" xfId="3295"/>
    <cellStyle name="千位分隔 38 20" xfId="3296"/>
    <cellStyle name="千位分隔 38 16" xfId="3297"/>
    <cellStyle name="千位分隔 38 21" xfId="3298"/>
    <cellStyle name="千位分隔 38 17" xfId="3299"/>
    <cellStyle name="千位分隔 38 22" xfId="3300"/>
    <cellStyle name="千位分隔 38 18" xfId="3301"/>
    <cellStyle name="千位分隔 38 23" xfId="3302"/>
    <cellStyle name="千位分隔 38 19" xfId="3303"/>
    <cellStyle name="千位分隔 38 2" xfId="3304"/>
    <cellStyle name="千位分隔 38 3" xfId="3305"/>
    <cellStyle name="千位分隔 38 4" xfId="3306"/>
    <cellStyle name="千位分隔 38 5" xfId="3307"/>
    <cellStyle name="千位分隔 38 6" xfId="3308"/>
    <cellStyle name="千位分隔 39" xfId="3309"/>
    <cellStyle name="千位分隔 39 10" xfId="3310"/>
    <cellStyle name="千位分隔 39 11" xfId="3311"/>
    <cellStyle name="千位分隔 39 12" xfId="3312"/>
    <cellStyle name="千位分隔 39 13" xfId="3313"/>
    <cellStyle name="千位分隔 39 14" xfId="3314"/>
    <cellStyle name="千位分隔 39 15" xfId="3315"/>
    <cellStyle name="千位分隔 39 20" xfId="3316"/>
    <cellStyle name="千位分隔 39 16" xfId="3317"/>
    <cellStyle name="千位分隔 39 21" xfId="3318"/>
    <cellStyle name="千位分隔 39 17" xfId="3319"/>
    <cellStyle name="千位分隔 39 22" xfId="3320"/>
    <cellStyle name="千位分隔 39 18" xfId="3321"/>
    <cellStyle name="千位分隔 39 23" xfId="3322"/>
    <cellStyle name="千位分隔 39 19" xfId="3323"/>
    <cellStyle name="千位分隔 39 24" xfId="3324"/>
    <cellStyle name="千位分隔 39 2" xfId="3325"/>
    <cellStyle name="千位分隔 39 25" xfId="3326"/>
    <cellStyle name="千位分隔 39 30" xfId="3327"/>
    <cellStyle name="千位分隔 39 26" xfId="3328"/>
    <cellStyle name="千位分隔 39 31" xfId="3329"/>
    <cellStyle name="千位分隔 39 27" xfId="3330"/>
    <cellStyle name="千位分隔 39 32" xfId="3331"/>
    <cellStyle name="千位分隔 39 28" xfId="3332"/>
    <cellStyle name="千位分隔 39 33" xfId="3333"/>
    <cellStyle name="千位分隔 39 29" xfId="3334"/>
    <cellStyle name="千位分隔 39 34" xfId="3335"/>
    <cellStyle name="千位分隔 39 35" xfId="3336"/>
    <cellStyle name="千位分隔 39 36" xfId="3337"/>
    <cellStyle name="千位分隔 4" xfId="3338"/>
    <cellStyle name="千位分隔 4 10" xfId="3339"/>
    <cellStyle name="千位分隔 4 11" xfId="3340"/>
    <cellStyle name="千位分隔 4 12" xfId="3341"/>
    <cellStyle name="千位分隔 4 13" xfId="3342"/>
    <cellStyle name="千位分隔 4 14" xfId="3343"/>
    <cellStyle name="千位分隔 4 19" xfId="3344"/>
    <cellStyle name="千位分隔 4 24" xfId="3345"/>
    <cellStyle name="千位分隔 4 2" xfId="3346"/>
    <cellStyle name="千位分隔 4 25" xfId="3347"/>
    <cellStyle name="千位分隔 4 30" xfId="3348"/>
    <cellStyle name="千位分隔 4 26" xfId="3349"/>
    <cellStyle name="千位分隔 4 31" xfId="3350"/>
    <cellStyle name="千位分隔 4 27" xfId="3351"/>
    <cellStyle name="千位分隔 4 32" xfId="3352"/>
    <cellStyle name="千位分隔 4 28" xfId="3353"/>
    <cellStyle name="千位分隔 4 33" xfId="3354"/>
    <cellStyle name="千位分隔 4 29" xfId="3355"/>
    <cellStyle name="千位分隔 4 34" xfId="3356"/>
    <cellStyle name="千位分隔 4 3 10" xfId="3357"/>
    <cellStyle name="千位分隔 4 3 11" xfId="3358"/>
    <cellStyle name="千位分隔 4 3 12" xfId="3359"/>
    <cellStyle name="千位分隔 4 3 13" xfId="3360"/>
    <cellStyle name="千位分隔 4 3 14" xfId="3361"/>
    <cellStyle name="千位分隔 4 3 15" xfId="3362"/>
    <cellStyle name="千位分隔 4 3 20" xfId="3363"/>
    <cellStyle name="千位分隔 4 3 16" xfId="3364"/>
    <cellStyle name="千位分隔 4 3 21" xfId="3365"/>
    <cellStyle name="千位分隔 4 3 17" xfId="3366"/>
    <cellStyle name="千位分隔 4 3 22" xfId="3367"/>
    <cellStyle name="千位分隔 4 3 18" xfId="3368"/>
    <cellStyle name="千位分隔 4 3 23" xfId="3369"/>
    <cellStyle name="千位分隔 4 3 19" xfId="3370"/>
    <cellStyle name="千位分隔 4 3 24" xfId="3371"/>
    <cellStyle name="千位分隔 4 3 2" xfId="3372"/>
    <cellStyle name="千位分隔 4 3 25" xfId="3373"/>
    <cellStyle name="千位分隔 4 3 30" xfId="3374"/>
    <cellStyle name="千位分隔 4 3 26" xfId="3375"/>
    <cellStyle name="千位分隔 4 3 31" xfId="3376"/>
    <cellStyle name="千位分隔 4 3 27" xfId="3377"/>
    <cellStyle name="千位分隔 4 3 32" xfId="3378"/>
    <cellStyle name="千位分隔 4 3 28" xfId="3379"/>
    <cellStyle name="千位分隔 4 3 33" xfId="3380"/>
    <cellStyle name="千位分隔 4 3 29" xfId="3381"/>
    <cellStyle name="千位分隔 4 3 34" xfId="3382"/>
    <cellStyle name="千位分隔 4 3 3" xfId="3383"/>
    <cellStyle name="千位分隔 4 3 35" xfId="3384"/>
    <cellStyle name="千位分隔 4 3 36" xfId="3385"/>
    <cellStyle name="千位分隔 4 3 4" xfId="3386"/>
    <cellStyle name="千位分隔 4 3 5" xfId="3387"/>
    <cellStyle name="千位分隔 4 3 6" xfId="3388"/>
    <cellStyle name="千位分隔 4 3 7" xfId="3389"/>
    <cellStyle name="千位分隔 4 3 8" xfId="3390"/>
    <cellStyle name="千位分隔 4 3 9" xfId="3391"/>
    <cellStyle name="千位分隔 4 35" xfId="3392"/>
    <cellStyle name="千位分隔 4 36" xfId="3393"/>
    <cellStyle name="千位分隔 4 37" xfId="3394"/>
    <cellStyle name="千位分隔 4 38" xfId="3395"/>
    <cellStyle name="千位分隔 5" xfId="3396"/>
    <cellStyle name="千位分隔 5 10" xfId="3397"/>
    <cellStyle name="千位分隔 5 11" xfId="3398"/>
    <cellStyle name="千位分隔 5 12" xfId="3399"/>
    <cellStyle name="千位分隔 5 13" xfId="3400"/>
    <cellStyle name="千位分隔 5 14" xfId="3401"/>
    <cellStyle name="千位分隔 5 15" xfId="3402"/>
    <cellStyle name="千位分隔 5 20" xfId="3403"/>
    <cellStyle name="千位分隔 5 16" xfId="3404"/>
    <cellStyle name="千位分隔 5 21" xfId="3405"/>
    <cellStyle name="千位分隔 5 17" xfId="3406"/>
    <cellStyle name="千位分隔 5 22" xfId="3407"/>
    <cellStyle name="千位分隔 5 18" xfId="3408"/>
    <cellStyle name="千位分隔 5 23" xfId="3409"/>
    <cellStyle name="千位分隔 5 19" xfId="3410"/>
    <cellStyle name="千位分隔 5 24" xfId="3411"/>
    <cellStyle name="千位分隔 5 2" xfId="3412"/>
    <cellStyle name="千位分隔 5 25" xfId="3413"/>
    <cellStyle name="千位分隔 5 30" xfId="3414"/>
    <cellStyle name="千位分隔 5 26" xfId="3415"/>
    <cellStyle name="千位分隔 5 31" xfId="3416"/>
    <cellStyle name="千位分隔 5 27" xfId="3417"/>
    <cellStyle name="千位分隔 5 32" xfId="3418"/>
    <cellStyle name="千位分隔 5 28" xfId="3419"/>
    <cellStyle name="千位分隔 5 33" xfId="3420"/>
    <cellStyle name="千位分隔 5 29" xfId="3421"/>
    <cellStyle name="千位分隔 5 34" xfId="3422"/>
    <cellStyle name="千位分隔 5 3" xfId="3423"/>
    <cellStyle name="千位分隔 5 3 17" xfId="3424"/>
    <cellStyle name="千位分隔 5 3 22" xfId="3425"/>
    <cellStyle name="千位分隔 5 3 18" xfId="3426"/>
    <cellStyle name="千位分隔 5 3 23" xfId="3427"/>
    <cellStyle name="千位分隔 5 3 19" xfId="3428"/>
    <cellStyle name="千位分隔 5 3 24" xfId="3429"/>
    <cellStyle name="千位分隔 5 3 25" xfId="3430"/>
    <cellStyle name="千位分隔 5 3 30" xfId="3431"/>
    <cellStyle name="千位分隔 5 3 26" xfId="3432"/>
    <cellStyle name="千位分隔 5 3 31" xfId="3433"/>
    <cellStyle name="千位分隔 5 3 27" xfId="3434"/>
    <cellStyle name="千位分隔 5 3 32" xfId="3435"/>
    <cellStyle name="千位分隔 5 3 28" xfId="3436"/>
    <cellStyle name="千位分隔 5 3 33" xfId="3437"/>
    <cellStyle name="千位分隔 5 3 29" xfId="3438"/>
    <cellStyle name="千位分隔 5 3 34" xfId="3439"/>
    <cellStyle name="千位分隔 5 3 35" xfId="3440"/>
    <cellStyle name="千位分隔 5 3 36" xfId="3441"/>
    <cellStyle name="千位分隔 5 3 8" xfId="3442"/>
    <cellStyle name="千位分隔 5 3 9" xfId="3443"/>
    <cellStyle name="千位分隔 5 35" xfId="3444"/>
    <cellStyle name="千位分隔 5 36" xfId="3445"/>
    <cellStyle name="千位分隔 5 37" xfId="3446"/>
    <cellStyle name="千位分隔 5 38" xfId="3447"/>
    <cellStyle name="千位分隔 5 4" xfId="3448"/>
    <cellStyle name="千位分隔 5 5" xfId="3449"/>
    <cellStyle name="千位分隔 5 6" xfId="3450"/>
    <cellStyle name="千位分隔 5 7" xfId="3451"/>
    <cellStyle name="千位分隔 5 8" xfId="3452"/>
    <cellStyle name="千位分隔 5 9" xfId="3453"/>
    <cellStyle name="千位分隔 6" xfId="3454"/>
    <cellStyle name="千位分隔 6 10" xfId="3455"/>
    <cellStyle name="千位分隔 6 11" xfId="3456"/>
    <cellStyle name="千位分隔 6 12" xfId="3457"/>
    <cellStyle name="千位分隔 6 13" xfId="3458"/>
    <cellStyle name="千位分隔 6 14" xfId="3459"/>
    <cellStyle name="千位分隔 6 15" xfId="3460"/>
    <cellStyle name="千位分隔 6 20" xfId="3461"/>
    <cellStyle name="千位分隔 6 16" xfId="3462"/>
    <cellStyle name="千位分隔 6 21" xfId="3463"/>
    <cellStyle name="千位分隔 6 17" xfId="3464"/>
    <cellStyle name="千位分隔 6 22" xfId="3465"/>
    <cellStyle name="千位分隔 6 18" xfId="3466"/>
    <cellStyle name="千位分隔 6 23" xfId="3467"/>
    <cellStyle name="千位分隔 6 19" xfId="3468"/>
    <cellStyle name="千位分隔 6 24" xfId="3469"/>
    <cellStyle name="千位分隔 6 25" xfId="3470"/>
    <cellStyle name="千位分隔 6 30" xfId="3471"/>
    <cellStyle name="千位分隔 6 26" xfId="3472"/>
    <cellStyle name="千位分隔 6 31" xfId="3473"/>
    <cellStyle name="千位分隔 6 27" xfId="3474"/>
    <cellStyle name="千位分隔 6 32" xfId="3475"/>
    <cellStyle name="千位分隔 6 28" xfId="3476"/>
    <cellStyle name="千位分隔 6 33" xfId="3477"/>
    <cellStyle name="千位分隔 6 29" xfId="3478"/>
    <cellStyle name="千位分隔 6 34" xfId="3479"/>
    <cellStyle name="千位分隔 6 3 10" xfId="3480"/>
    <cellStyle name="千位分隔 6 3 11" xfId="3481"/>
    <cellStyle name="千位分隔 6 3 12" xfId="3482"/>
    <cellStyle name="千位分隔 6 3 2" xfId="3483"/>
    <cellStyle name="千位分隔 6 3 26" xfId="3484"/>
    <cellStyle name="千位分隔 6 3 31" xfId="3485"/>
    <cellStyle name="千位分隔 6 3 27" xfId="3486"/>
    <cellStyle name="千位分隔 6 3 32" xfId="3487"/>
    <cellStyle name="千位分隔 6 3 28" xfId="3488"/>
    <cellStyle name="千位分隔 6 3 33" xfId="3489"/>
    <cellStyle name="千位分隔 6 3 29" xfId="3490"/>
    <cellStyle name="千位分隔 6 3 34" xfId="3491"/>
    <cellStyle name="千位分隔 6 3 3" xfId="3492"/>
    <cellStyle name="千位分隔 6 3 35" xfId="3493"/>
    <cellStyle name="千位分隔 6 3 36" xfId="3494"/>
    <cellStyle name="千位分隔 6 3 4" xfId="3495"/>
    <cellStyle name="千位分隔 6 3 5" xfId="3496"/>
    <cellStyle name="千位分隔 6 3 6" xfId="3497"/>
    <cellStyle name="千位分隔 6 3 7" xfId="3498"/>
    <cellStyle name="千位分隔 6 3 8" xfId="3499"/>
    <cellStyle name="千位分隔 6 3 9" xfId="3500"/>
    <cellStyle name="千位分隔 6 35" xfId="3501"/>
    <cellStyle name="千位分隔 6 36" xfId="3502"/>
    <cellStyle name="千位分隔 6 37" xfId="3503"/>
    <cellStyle name="千位分隔 6 38" xfId="3504"/>
    <cellStyle name="千位分隔 7" xfId="3505"/>
    <cellStyle name="千位分隔 8" xfId="3506"/>
    <cellStyle name="千位分隔 8 10" xfId="3507"/>
    <cellStyle name="千位分隔 8 11" xfId="3508"/>
    <cellStyle name="千位分隔 8 12" xfId="3509"/>
    <cellStyle name="千位分隔 8 13" xfId="3510"/>
    <cellStyle name="千位分隔 8 14" xfId="3511"/>
    <cellStyle name="千位分隔 8 15" xfId="3512"/>
    <cellStyle name="千位分隔 8 20" xfId="3513"/>
    <cellStyle name="千位分隔 8 16" xfId="3514"/>
    <cellStyle name="千位分隔 8 21" xfId="3515"/>
    <cellStyle name="千位分隔 8 17" xfId="3516"/>
    <cellStyle name="千位分隔 8 22" xfId="3517"/>
    <cellStyle name="千位分隔 8 18" xfId="3518"/>
    <cellStyle name="千位分隔 8 23" xfId="3519"/>
    <cellStyle name="千位分隔 8 19" xfId="3520"/>
    <cellStyle name="千位分隔 9" xfId="35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C2:L18"/>
  <sheetViews>
    <sheetView workbookViewId="0" topLeftCell="A1">
      <selection activeCell="C9" sqref="C9"/>
    </sheetView>
  </sheetViews>
  <sheetFormatPr defaultColWidth="9.00390625" defaultRowHeight="14.25"/>
  <cols>
    <col min="6" max="6" width="12.625" style="0" customWidth="1"/>
    <col min="7" max="7" width="27.00390625" style="0" bestFit="1" customWidth="1"/>
  </cols>
  <sheetData>
    <row r="2" spans="3:10" ht="20.25">
      <c r="C2" s="193" t="s">
        <v>0</v>
      </c>
      <c r="D2" s="193"/>
      <c r="E2" s="193"/>
      <c r="F2" s="193"/>
      <c r="G2" s="193"/>
      <c r="H2" s="193"/>
      <c r="I2" s="193"/>
      <c r="J2" s="193"/>
    </row>
    <row r="3" spans="3:10" ht="20.25">
      <c r="C3" s="193"/>
      <c r="D3" s="193"/>
      <c r="E3" s="193"/>
      <c r="F3" s="193"/>
      <c r="G3" s="193"/>
      <c r="H3" s="193"/>
      <c r="I3" s="193"/>
      <c r="J3" s="193"/>
    </row>
    <row r="4" spans="3:10" ht="20.25">
      <c r="C4" s="193"/>
      <c r="D4" s="193"/>
      <c r="E4" s="193"/>
      <c r="F4" s="193"/>
      <c r="G4" s="193"/>
      <c r="H4" s="193"/>
      <c r="I4" s="193"/>
      <c r="J4" s="193"/>
    </row>
    <row r="5" spans="3:12" ht="20.25">
      <c r="C5" s="193"/>
      <c r="D5" s="193"/>
      <c r="E5" s="193"/>
      <c r="F5" s="193"/>
      <c r="G5" s="193"/>
      <c r="H5" s="193"/>
      <c r="I5" s="193"/>
      <c r="L5" s="193"/>
    </row>
    <row r="8" spans="3:10" ht="35.25">
      <c r="C8" s="194"/>
      <c r="D8" s="194" t="s">
        <v>1</v>
      </c>
      <c r="E8" s="194"/>
      <c r="F8" s="194"/>
      <c r="G8" s="194"/>
      <c r="H8" s="194"/>
      <c r="I8" s="194"/>
      <c r="J8" s="194"/>
    </row>
    <row r="15" spans="3:8" ht="20.25">
      <c r="C15" s="193"/>
      <c r="D15" s="193"/>
      <c r="E15" s="193"/>
      <c r="F15" s="195" t="s">
        <v>2</v>
      </c>
      <c r="G15" s="193" t="s">
        <v>3</v>
      </c>
      <c r="H15" s="193"/>
    </row>
    <row r="16" spans="3:8" ht="20.25">
      <c r="C16" s="193"/>
      <c r="D16" s="193"/>
      <c r="E16" s="193"/>
      <c r="F16" s="195"/>
      <c r="G16" s="193"/>
      <c r="H16" s="193"/>
    </row>
    <row r="17" spans="3:8" ht="20.25">
      <c r="C17" s="193"/>
      <c r="D17" s="193"/>
      <c r="E17" s="193"/>
      <c r="F17" s="195"/>
      <c r="G17" s="193"/>
      <c r="H17" s="193"/>
    </row>
    <row r="18" spans="3:8" ht="20.25">
      <c r="C18" s="193"/>
      <c r="D18" s="193"/>
      <c r="E18" s="193"/>
      <c r="F18" s="195" t="s">
        <v>4</v>
      </c>
      <c r="G18" s="196">
        <v>43313</v>
      </c>
      <c r="H18" s="196"/>
    </row>
  </sheetData>
  <sheetProtection/>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52"/>
  <sheetViews>
    <sheetView tabSelected="1" workbookViewId="0" topLeftCell="A1">
      <pane ySplit="5" topLeftCell="A30" activePane="bottomLeft" state="frozen"/>
      <selection pane="bottomLeft" activeCell="A30" sqref="A30"/>
    </sheetView>
  </sheetViews>
  <sheetFormatPr defaultColWidth="9.00390625" defaultRowHeight="14.25"/>
  <cols>
    <col min="1" max="1" width="29.125" style="174" customWidth="1"/>
    <col min="2" max="3" width="8.75390625" style="174" customWidth="1"/>
    <col min="4" max="4" width="9.125" style="174" customWidth="1"/>
    <col min="5" max="5" width="9.50390625" style="174" customWidth="1"/>
    <col min="6" max="6" width="8.875" style="174" customWidth="1"/>
    <col min="7" max="7" width="9.125" style="174" customWidth="1"/>
    <col min="8" max="8" width="7.00390625" style="174" customWidth="1"/>
    <col min="9" max="9" width="7.25390625" style="174" customWidth="1"/>
    <col min="10" max="10" width="39.25390625" style="174" customWidth="1"/>
    <col min="11" max="11" width="10.50390625" style="174" bestFit="1" customWidth="1"/>
    <col min="12" max="16384" width="9.00390625" style="174" customWidth="1"/>
  </cols>
  <sheetData>
    <row r="1" ht="26.25" customHeight="1">
      <c r="A1" s="175" t="s">
        <v>5</v>
      </c>
    </row>
    <row r="2" spans="1:10" ht="38.25" customHeight="1">
      <c r="A2" s="176" t="s">
        <v>6</v>
      </c>
      <c r="B2" s="176"/>
      <c r="C2" s="176"/>
      <c r="D2" s="176"/>
      <c r="E2" s="176"/>
      <c r="F2" s="176"/>
      <c r="G2" s="176"/>
      <c r="H2" s="176"/>
      <c r="I2" s="176"/>
      <c r="J2" s="176"/>
    </row>
    <row r="3" s="172" customFormat="1" ht="28.5" customHeight="1">
      <c r="J3" s="191" t="s">
        <v>7</v>
      </c>
    </row>
    <row r="4" spans="1:10" s="173" customFormat="1" ht="39.75" customHeight="1">
      <c r="A4" s="177" t="s">
        <v>8</v>
      </c>
      <c r="B4" s="178" t="s">
        <v>9</v>
      </c>
      <c r="C4" s="179"/>
      <c r="D4" s="178" t="s">
        <v>10</v>
      </c>
      <c r="E4" s="179"/>
      <c r="F4" s="178" t="s">
        <v>11</v>
      </c>
      <c r="G4" s="179"/>
      <c r="H4" s="178" t="s">
        <v>12</v>
      </c>
      <c r="I4" s="179"/>
      <c r="J4" s="181" t="s">
        <v>13</v>
      </c>
    </row>
    <row r="5" spans="1:10" s="173" customFormat="1" ht="32.25" customHeight="1">
      <c r="A5" s="180"/>
      <c r="B5" s="181" t="s">
        <v>14</v>
      </c>
      <c r="C5" s="182" t="s">
        <v>15</v>
      </c>
      <c r="D5" s="181" t="s">
        <v>14</v>
      </c>
      <c r="E5" s="182" t="s">
        <v>15</v>
      </c>
      <c r="F5" s="181" t="s">
        <v>14</v>
      </c>
      <c r="G5" s="182" t="s">
        <v>15</v>
      </c>
      <c r="H5" s="181" t="s">
        <v>14</v>
      </c>
      <c r="I5" s="182" t="s">
        <v>15</v>
      </c>
      <c r="J5" s="181"/>
    </row>
    <row r="6" spans="1:10" s="138" customFormat="1" ht="24.75" customHeight="1">
      <c r="A6" s="183" t="s">
        <v>16</v>
      </c>
      <c r="B6" s="184">
        <f aca="true" t="shared" si="0" ref="B6:G6">SUM(B7:B11,B14:B26)</f>
        <v>289371</v>
      </c>
      <c r="C6" s="184">
        <f t="shared" si="0"/>
        <v>50771</v>
      </c>
      <c r="D6" s="184">
        <f t="shared" si="0"/>
        <v>1548.7640000000001</v>
      </c>
      <c r="E6" s="184">
        <f t="shared" si="0"/>
        <v>258.1571</v>
      </c>
      <c r="F6" s="184">
        <f t="shared" si="0"/>
        <v>290919.4306666667</v>
      </c>
      <c r="G6" s="184">
        <f t="shared" si="0"/>
        <v>51029.1571</v>
      </c>
      <c r="H6" s="185">
        <f>IF(B6=0,IF(F6=0,0,100),100*(F6/B6-1))</f>
        <v>0.535102227475015</v>
      </c>
      <c r="I6" s="185">
        <f aca="true" t="shared" si="1" ref="H6:I21">IF(C6=0,IF(G6=0,0,100),100*(G6/C6-1))</f>
        <v>0.5084735380433747</v>
      </c>
      <c r="J6" s="183"/>
    </row>
    <row r="7" spans="1:10" s="138" customFormat="1" ht="24.75" customHeight="1">
      <c r="A7" s="197" t="s">
        <v>17</v>
      </c>
      <c r="B7" s="186">
        <v>60625</v>
      </c>
      <c r="C7" s="184">
        <v>9094</v>
      </c>
      <c r="D7" s="184">
        <f>E7/0.15</f>
        <v>662.5293333333334</v>
      </c>
      <c r="E7" s="184">
        <f>C7*0.0051+53</f>
        <v>99.3794</v>
      </c>
      <c r="F7" s="184">
        <f aca="true" t="shared" si="2" ref="F7:G11">B7+D7</f>
        <v>61287.52933333333</v>
      </c>
      <c r="G7" s="184">
        <f t="shared" si="2"/>
        <v>9193.3794</v>
      </c>
      <c r="H7" s="185">
        <f t="shared" si="1"/>
        <v>1.0928318900343514</v>
      </c>
      <c r="I7" s="185">
        <f t="shared" si="1"/>
        <v>1.0928018473718826</v>
      </c>
      <c r="J7" s="183"/>
    </row>
    <row r="8" spans="1:10" s="138" customFormat="1" ht="24.75" customHeight="1">
      <c r="A8" s="197" t="s">
        <v>18</v>
      </c>
      <c r="B8" s="186">
        <v>56418</v>
      </c>
      <c r="C8" s="184">
        <v>8462</v>
      </c>
      <c r="D8" s="184">
        <f>E8/0.15</f>
        <v>554.3746666666668</v>
      </c>
      <c r="E8" s="184">
        <f>C8*0.0051+40</f>
        <v>83.15620000000001</v>
      </c>
      <c r="F8" s="184">
        <f t="shared" si="2"/>
        <v>56972.37466666667</v>
      </c>
      <c r="G8" s="184">
        <f t="shared" si="2"/>
        <v>8545.1562</v>
      </c>
      <c r="H8" s="185">
        <f t="shared" si="1"/>
        <v>0.9826202039538323</v>
      </c>
      <c r="I8" s="185">
        <f t="shared" si="1"/>
        <v>0.9827014890096741</v>
      </c>
      <c r="J8" s="183"/>
    </row>
    <row r="9" spans="1:10" s="138" customFormat="1" ht="24.75" customHeight="1">
      <c r="A9" s="197" t="s">
        <v>19</v>
      </c>
      <c r="B9" s="186">
        <v>6</v>
      </c>
      <c r="C9" s="184"/>
      <c r="D9" s="184"/>
      <c r="E9" s="184">
        <f aca="true" t="shared" si="3" ref="E9:E26">C9*0.0051</f>
        <v>0</v>
      </c>
      <c r="F9" s="184">
        <f t="shared" si="2"/>
        <v>6</v>
      </c>
      <c r="G9" s="184">
        <f t="shared" si="2"/>
        <v>0</v>
      </c>
      <c r="H9" s="185">
        <f t="shared" si="1"/>
        <v>0</v>
      </c>
      <c r="I9" s="185">
        <f t="shared" si="1"/>
        <v>0</v>
      </c>
      <c r="J9" s="183"/>
    </row>
    <row r="10" spans="1:10" s="138" customFormat="1" ht="24.75" customHeight="1">
      <c r="A10" s="197" t="s">
        <v>20</v>
      </c>
      <c r="B10" s="186"/>
      <c r="C10" s="184"/>
      <c r="D10" s="184"/>
      <c r="E10" s="184">
        <f t="shared" si="3"/>
        <v>0</v>
      </c>
      <c r="F10" s="184">
        <f t="shared" si="2"/>
        <v>0</v>
      </c>
      <c r="G10" s="184">
        <f t="shared" si="2"/>
        <v>0</v>
      </c>
      <c r="H10" s="185">
        <f t="shared" si="1"/>
        <v>0</v>
      </c>
      <c r="I10" s="185">
        <f t="shared" si="1"/>
        <v>0</v>
      </c>
      <c r="J10" s="183"/>
    </row>
    <row r="11" spans="1:10" s="138" customFormat="1" ht="24.75" customHeight="1">
      <c r="A11" s="183" t="s">
        <v>21</v>
      </c>
      <c r="B11" s="186">
        <f>22657+76014</f>
        <v>98671</v>
      </c>
      <c r="C11" s="186">
        <f>2719+9122</f>
        <v>11841</v>
      </c>
      <c r="D11" s="186">
        <f>E11/0.12</f>
        <v>86.57583333333339</v>
      </c>
      <c r="E11" s="184">
        <f>C11*0.0051-50</f>
        <v>10.389100000000006</v>
      </c>
      <c r="F11" s="184">
        <f t="shared" si="2"/>
        <v>98757.57583333334</v>
      </c>
      <c r="G11" s="184">
        <f t="shared" si="2"/>
        <v>11851.3891</v>
      </c>
      <c r="H11" s="185">
        <f t="shared" si="1"/>
        <v>0.08774192349660925</v>
      </c>
      <c r="I11" s="185">
        <f t="shared" si="1"/>
        <v>0.08773836669200286</v>
      </c>
      <c r="J11" s="183"/>
    </row>
    <row r="12" spans="1:10" s="138" customFormat="1" ht="24.75" customHeight="1" hidden="1">
      <c r="A12" s="183" t="s">
        <v>22</v>
      </c>
      <c r="B12" s="186"/>
      <c r="C12" s="184"/>
      <c r="D12" s="184"/>
      <c r="E12" s="184">
        <f t="shared" si="3"/>
        <v>0</v>
      </c>
      <c r="F12" s="184"/>
      <c r="G12" s="184"/>
      <c r="H12" s="185"/>
      <c r="I12" s="185"/>
      <c r="J12" s="183"/>
    </row>
    <row r="13" spans="1:10" s="138" customFormat="1" ht="24.75" customHeight="1" hidden="1">
      <c r="A13" s="183" t="s">
        <v>23</v>
      </c>
      <c r="B13" s="186"/>
      <c r="C13" s="184"/>
      <c r="D13" s="184"/>
      <c r="E13" s="184">
        <f t="shared" si="3"/>
        <v>0</v>
      </c>
      <c r="F13" s="184"/>
      <c r="G13" s="184"/>
      <c r="H13" s="185"/>
      <c r="I13" s="185"/>
      <c r="J13" s="183"/>
    </row>
    <row r="14" spans="1:10" s="138" customFormat="1" ht="24.75" customHeight="1" hidden="1">
      <c r="A14" s="197" t="s">
        <v>24</v>
      </c>
      <c r="B14" s="184"/>
      <c r="C14" s="184"/>
      <c r="D14" s="184"/>
      <c r="E14" s="184">
        <f t="shared" si="3"/>
        <v>0</v>
      </c>
      <c r="F14" s="184"/>
      <c r="G14" s="184"/>
      <c r="H14" s="185"/>
      <c r="I14" s="185"/>
      <c r="J14" s="183"/>
    </row>
    <row r="15" spans="1:10" s="138" customFormat="1" ht="24.75" customHeight="1">
      <c r="A15" s="197" t="s">
        <v>25</v>
      </c>
      <c r="B15" s="184"/>
      <c r="C15" s="184"/>
      <c r="D15" s="184">
        <f>E15/0.12</f>
        <v>0</v>
      </c>
      <c r="E15" s="184">
        <f t="shared" si="3"/>
        <v>0</v>
      </c>
      <c r="F15" s="184">
        <f aca="true" t="shared" si="4" ref="F15:G41">B15+D15</f>
        <v>0</v>
      </c>
      <c r="G15" s="184">
        <f t="shared" si="4"/>
        <v>0</v>
      </c>
      <c r="H15" s="185">
        <f t="shared" si="1"/>
        <v>0</v>
      </c>
      <c r="I15" s="185">
        <f t="shared" si="1"/>
        <v>0</v>
      </c>
      <c r="J15" s="183"/>
    </row>
    <row r="16" spans="1:10" s="138" customFormat="1" ht="24.75" customHeight="1">
      <c r="A16" s="197" t="s">
        <v>26</v>
      </c>
      <c r="B16" s="186">
        <v>12438</v>
      </c>
      <c r="C16" s="184">
        <v>1492</v>
      </c>
      <c r="D16" s="184">
        <f>E16/0.12</f>
        <v>63.410000000000004</v>
      </c>
      <c r="E16" s="184">
        <f t="shared" si="3"/>
        <v>7.6092</v>
      </c>
      <c r="F16" s="184">
        <f t="shared" si="4"/>
        <v>12501.41</v>
      </c>
      <c r="G16" s="184">
        <f t="shared" si="4"/>
        <v>1499.6092</v>
      </c>
      <c r="H16" s="185">
        <f t="shared" si="1"/>
        <v>0.5098086509085054</v>
      </c>
      <c r="I16" s="185">
        <f t="shared" si="1"/>
        <v>0.5100000000000104</v>
      </c>
      <c r="J16" s="183"/>
    </row>
    <row r="17" spans="1:10" s="138" customFormat="1" ht="24.75" customHeight="1">
      <c r="A17" s="183" t="s">
        <v>27</v>
      </c>
      <c r="B17" s="186">
        <v>965</v>
      </c>
      <c r="C17" s="184">
        <v>965</v>
      </c>
      <c r="D17" s="184">
        <f>E17</f>
        <v>4.9215</v>
      </c>
      <c r="E17" s="184">
        <f t="shared" si="3"/>
        <v>4.9215</v>
      </c>
      <c r="F17" s="184">
        <f t="shared" si="4"/>
        <v>969.9215</v>
      </c>
      <c r="G17" s="184">
        <f t="shared" si="4"/>
        <v>969.9215</v>
      </c>
      <c r="H17" s="185">
        <f t="shared" si="1"/>
        <v>0.5100000000000104</v>
      </c>
      <c r="I17" s="185">
        <f t="shared" si="1"/>
        <v>0.5100000000000104</v>
      </c>
      <c r="J17" s="183"/>
    </row>
    <row r="18" spans="1:10" s="138" customFormat="1" ht="24.75" customHeight="1">
      <c r="A18" s="197" t="s">
        <v>28</v>
      </c>
      <c r="B18" s="186">
        <v>8709</v>
      </c>
      <c r="C18" s="184">
        <v>5225</v>
      </c>
      <c r="D18" s="184">
        <f>E18/0.6</f>
        <v>44.4125</v>
      </c>
      <c r="E18" s="184">
        <f t="shared" si="3"/>
        <v>26.6475</v>
      </c>
      <c r="F18" s="184">
        <f t="shared" si="4"/>
        <v>8753.4125</v>
      </c>
      <c r="G18" s="184">
        <f t="shared" si="4"/>
        <v>5251.6475</v>
      </c>
      <c r="H18" s="185">
        <f t="shared" si="1"/>
        <v>0.5099609599265253</v>
      </c>
      <c r="I18" s="185">
        <f t="shared" si="1"/>
        <v>0.5100000000000104</v>
      </c>
      <c r="J18" s="183"/>
    </row>
    <row r="19" spans="1:10" s="138" customFormat="1" ht="24.75" customHeight="1">
      <c r="A19" s="197" t="s">
        <v>29</v>
      </c>
      <c r="B19" s="186">
        <v>3655</v>
      </c>
      <c r="C19" s="184">
        <v>2193</v>
      </c>
      <c r="D19" s="184">
        <f>E19/0.6</f>
        <v>18.640500000000003</v>
      </c>
      <c r="E19" s="184">
        <f t="shared" si="3"/>
        <v>11.1843</v>
      </c>
      <c r="F19" s="184">
        <f t="shared" si="4"/>
        <v>3673.6405</v>
      </c>
      <c r="G19" s="184">
        <f t="shared" si="4"/>
        <v>2204.1843</v>
      </c>
      <c r="H19" s="185">
        <f t="shared" si="1"/>
        <v>0.5099999999999882</v>
      </c>
      <c r="I19" s="185">
        <f t="shared" si="1"/>
        <v>0.5099999999999882</v>
      </c>
      <c r="J19" s="183"/>
    </row>
    <row r="20" spans="1:10" s="138" customFormat="1" ht="24.75" customHeight="1">
      <c r="A20" s="183" t="s">
        <v>30</v>
      </c>
      <c r="B20" s="186">
        <v>3441</v>
      </c>
      <c r="C20" s="184">
        <v>3441</v>
      </c>
      <c r="D20" s="184">
        <v>-164</v>
      </c>
      <c r="E20" s="184">
        <v>-164</v>
      </c>
      <c r="F20" s="184">
        <v>3277</v>
      </c>
      <c r="G20" s="184">
        <v>3277</v>
      </c>
      <c r="H20" s="185">
        <f t="shared" si="1"/>
        <v>-4.766056378959604</v>
      </c>
      <c r="I20" s="185">
        <f t="shared" si="1"/>
        <v>-4.766056378959604</v>
      </c>
      <c r="J20" s="183"/>
    </row>
    <row r="21" spans="1:10" s="138" customFormat="1" ht="24.75" customHeight="1">
      <c r="A21" s="183" t="s">
        <v>31</v>
      </c>
      <c r="B21" s="186">
        <v>3078</v>
      </c>
      <c r="C21" s="184"/>
      <c r="D21" s="184"/>
      <c r="E21" s="184">
        <f t="shared" si="3"/>
        <v>0</v>
      </c>
      <c r="F21" s="184">
        <f t="shared" si="4"/>
        <v>3078</v>
      </c>
      <c r="G21" s="184">
        <f t="shared" si="4"/>
        <v>0</v>
      </c>
      <c r="H21" s="185">
        <f t="shared" si="1"/>
        <v>0</v>
      </c>
      <c r="I21" s="185">
        <f t="shared" si="1"/>
        <v>0</v>
      </c>
      <c r="J21" s="183"/>
    </row>
    <row r="22" spans="1:10" s="138" customFormat="1" ht="24.75" customHeight="1">
      <c r="A22" s="197" t="s">
        <v>32</v>
      </c>
      <c r="B22" s="186">
        <v>20830</v>
      </c>
      <c r="C22" s="184">
        <v>6249</v>
      </c>
      <c r="D22" s="184">
        <f>E22/0.3</f>
        <v>-40.43366666666667</v>
      </c>
      <c r="E22" s="184">
        <f>C22*0.0051-44</f>
        <v>-12.130099999999999</v>
      </c>
      <c r="F22" s="184">
        <f t="shared" si="4"/>
        <v>20789.566333333332</v>
      </c>
      <c r="G22" s="184">
        <f t="shared" si="4"/>
        <v>6236.8699</v>
      </c>
      <c r="H22" s="185">
        <f aca="true" t="shared" si="5" ref="H22:I52">IF(B22=0,IF(F22=0,0,100),100*(F22/B22-1))</f>
        <v>-0.19411265802529165</v>
      </c>
      <c r="I22" s="185">
        <f t="shared" si="5"/>
        <v>-0.19411265802529165</v>
      </c>
      <c r="J22" s="183"/>
    </row>
    <row r="23" spans="1:10" s="138" customFormat="1" ht="24.75" customHeight="1">
      <c r="A23" s="183" t="s">
        <v>33</v>
      </c>
      <c r="B23" s="186">
        <v>19</v>
      </c>
      <c r="C23" s="184"/>
      <c r="D23" s="184"/>
      <c r="E23" s="184">
        <f t="shared" si="3"/>
        <v>0</v>
      </c>
      <c r="F23" s="184">
        <f t="shared" si="4"/>
        <v>19</v>
      </c>
      <c r="G23" s="184">
        <f t="shared" si="4"/>
        <v>0</v>
      </c>
      <c r="H23" s="185">
        <f t="shared" si="5"/>
        <v>0</v>
      </c>
      <c r="I23" s="185">
        <f t="shared" si="5"/>
        <v>0</v>
      </c>
      <c r="J23" s="183"/>
    </row>
    <row r="24" spans="1:10" s="138" customFormat="1" ht="24.75" customHeight="1">
      <c r="A24" s="197" t="s">
        <v>34</v>
      </c>
      <c r="B24" s="186">
        <v>3015</v>
      </c>
      <c r="C24" s="184">
        <v>1809</v>
      </c>
      <c r="D24" s="184">
        <f>E24/0.6</f>
        <v>318.33333333333337</v>
      </c>
      <c r="E24" s="184">
        <v>191</v>
      </c>
      <c r="F24" s="184">
        <v>3333</v>
      </c>
      <c r="G24" s="184">
        <v>2000</v>
      </c>
      <c r="H24" s="185">
        <f t="shared" si="5"/>
        <v>10.547263681592046</v>
      </c>
      <c r="I24" s="185">
        <f t="shared" si="5"/>
        <v>10.558319513543402</v>
      </c>
      <c r="J24" s="183"/>
    </row>
    <row r="25" spans="1:10" s="138" customFormat="1" ht="24.75" customHeight="1">
      <c r="A25" s="183" t="s">
        <v>35</v>
      </c>
      <c r="B25" s="186">
        <v>17501</v>
      </c>
      <c r="C25" s="184"/>
      <c r="D25" s="184"/>
      <c r="E25" s="184">
        <f t="shared" si="3"/>
        <v>0</v>
      </c>
      <c r="F25" s="184">
        <f t="shared" si="4"/>
        <v>17501</v>
      </c>
      <c r="G25" s="184">
        <f t="shared" si="4"/>
        <v>0</v>
      </c>
      <c r="H25" s="185">
        <f t="shared" si="5"/>
        <v>0</v>
      </c>
      <c r="I25" s="185">
        <f t="shared" si="5"/>
        <v>0</v>
      </c>
      <c r="J25" s="183"/>
    </row>
    <row r="26" spans="1:10" s="138" customFormat="1" ht="24.75" customHeight="1">
      <c r="A26" s="197" t="s">
        <v>36</v>
      </c>
      <c r="B26" s="184"/>
      <c r="C26" s="184"/>
      <c r="D26" s="184"/>
      <c r="E26" s="184">
        <f t="shared" si="3"/>
        <v>0</v>
      </c>
      <c r="F26" s="184">
        <f t="shared" si="4"/>
        <v>0</v>
      </c>
      <c r="G26" s="184">
        <f t="shared" si="4"/>
        <v>0</v>
      </c>
      <c r="H26" s="185">
        <f t="shared" si="5"/>
        <v>0</v>
      </c>
      <c r="I26" s="185">
        <f t="shared" si="5"/>
        <v>0</v>
      </c>
      <c r="J26" s="183"/>
    </row>
    <row r="27" spans="1:10" s="138" customFormat="1" ht="24.75" customHeight="1">
      <c r="A27" s="187" t="s">
        <v>37</v>
      </c>
      <c r="B27" s="184">
        <f>SUM(B28:B40)</f>
        <v>30747</v>
      </c>
      <c r="C27" s="184">
        <f>SUM(C28:C40)</f>
        <v>20347</v>
      </c>
      <c r="D27" s="184">
        <f>SUM(D28:D40)</f>
        <v>2156.6725000000006</v>
      </c>
      <c r="E27" s="184">
        <f>SUM(E28:E40)</f>
        <v>2046.6725000000006</v>
      </c>
      <c r="F27" s="184">
        <f t="shared" si="4"/>
        <v>32903.6725</v>
      </c>
      <c r="G27" s="184">
        <f>C27+E27-0.4</f>
        <v>22393.2725</v>
      </c>
      <c r="H27" s="185">
        <f t="shared" si="5"/>
        <v>7.014253423098182</v>
      </c>
      <c r="I27" s="185">
        <f t="shared" si="5"/>
        <v>10.056875706492363</v>
      </c>
      <c r="J27" s="187"/>
    </row>
    <row r="28" spans="1:10" s="138" customFormat="1" ht="24.75" customHeight="1">
      <c r="A28" s="198" t="s">
        <v>38</v>
      </c>
      <c r="B28" s="184">
        <v>3333</v>
      </c>
      <c r="C28" s="184">
        <v>2000</v>
      </c>
      <c r="D28" s="184">
        <f>E28/0.6</f>
        <v>275</v>
      </c>
      <c r="E28" s="184">
        <f>C28*0.1005-36</f>
        <v>165</v>
      </c>
      <c r="F28" s="184">
        <f t="shared" si="4"/>
        <v>3608</v>
      </c>
      <c r="G28" s="184">
        <f t="shared" si="4"/>
        <v>2165</v>
      </c>
      <c r="H28" s="185">
        <f t="shared" si="5"/>
        <v>8.25082508250825</v>
      </c>
      <c r="I28" s="185">
        <f t="shared" si="5"/>
        <v>8.250000000000002</v>
      </c>
      <c r="J28" s="183"/>
    </row>
    <row r="29" spans="1:10" s="138" customFormat="1" ht="24.75" customHeight="1">
      <c r="A29" s="198" t="s">
        <v>39</v>
      </c>
      <c r="B29" s="184"/>
      <c r="C29" s="184"/>
      <c r="D29" s="184">
        <f aca="true" t="shared" si="6" ref="D29:D40">E29</f>
        <v>0</v>
      </c>
      <c r="E29" s="184">
        <f aca="true" t="shared" si="7" ref="E29:E40">C29*0.1005</f>
        <v>0</v>
      </c>
      <c r="F29" s="184">
        <f t="shared" si="4"/>
        <v>0</v>
      </c>
      <c r="G29" s="184">
        <f t="shared" si="4"/>
        <v>0</v>
      </c>
      <c r="H29" s="185">
        <f t="shared" si="5"/>
        <v>0</v>
      </c>
      <c r="I29" s="185">
        <f t="shared" si="5"/>
        <v>0</v>
      </c>
      <c r="J29" s="183"/>
    </row>
    <row r="30" spans="1:10" s="138" customFormat="1" ht="24.75" customHeight="1">
      <c r="A30" s="198" t="s">
        <v>40</v>
      </c>
      <c r="B30" s="184">
        <v>1500</v>
      </c>
      <c r="C30" s="184">
        <v>900</v>
      </c>
      <c r="D30" s="184">
        <f t="shared" si="6"/>
        <v>55.45</v>
      </c>
      <c r="E30" s="184">
        <f>C30*0.1005-35</f>
        <v>55.45</v>
      </c>
      <c r="F30" s="184">
        <f t="shared" si="4"/>
        <v>1555.45</v>
      </c>
      <c r="G30" s="184">
        <f t="shared" si="4"/>
        <v>955.45</v>
      </c>
      <c r="H30" s="185">
        <f t="shared" si="5"/>
        <v>3.696666666666659</v>
      </c>
      <c r="I30" s="185">
        <f t="shared" si="5"/>
        <v>6.161111111111106</v>
      </c>
      <c r="J30" s="183"/>
    </row>
    <row r="31" spans="1:10" s="138" customFormat="1" ht="24.75" customHeight="1">
      <c r="A31" s="198" t="s">
        <v>41</v>
      </c>
      <c r="B31" s="184"/>
      <c r="C31" s="184"/>
      <c r="D31" s="184">
        <f t="shared" si="6"/>
        <v>0</v>
      </c>
      <c r="E31" s="184">
        <f t="shared" si="7"/>
        <v>0</v>
      </c>
      <c r="F31" s="184">
        <f t="shared" si="4"/>
        <v>0</v>
      </c>
      <c r="G31" s="184">
        <f t="shared" si="4"/>
        <v>0</v>
      </c>
      <c r="H31" s="185">
        <f t="shared" si="5"/>
        <v>0</v>
      </c>
      <c r="I31" s="185">
        <f t="shared" si="5"/>
        <v>0</v>
      </c>
      <c r="J31" s="183"/>
    </row>
    <row r="32" spans="1:10" s="138" customFormat="1" ht="24.75" customHeight="1">
      <c r="A32" s="198" t="s">
        <v>42</v>
      </c>
      <c r="B32" s="184"/>
      <c r="C32" s="184"/>
      <c r="D32" s="184">
        <f t="shared" si="6"/>
        <v>0</v>
      </c>
      <c r="E32" s="184">
        <f t="shared" si="7"/>
        <v>0</v>
      </c>
      <c r="F32" s="184">
        <f t="shared" si="4"/>
        <v>0</v>
      </c>
      <c r="G32" s="184">
        <f t="shared" si="4"/>
        <v>0</v>
      </c>
      <c r="H32" s="185">
        <f t="shared" si="5"/>
        <v>0</v>
      </c>
      <c r="I32" s="185">
        <f t="shared" si="5"/>
        <v>0</v>
      </c>
      <c r="J32" s="183"/>
    </row>
    <row r="33" spans="1:10" s="138" customFormat="1" ht="24.75" customHeight="1">
      <c r="A33" s="198" t="s">
        <v>43</v>
      </c>
      <c r="B33" s="184"/>
      <c r="C33" s="184"/>
      <c r="D33" s="184">
        <f t="shared" si="6"/>
        <v>0</v>
      </c>
      <c r="E33" s="184">
        <f t="shared" si="7"/>
        <v>0</v>
      </c>
      <c r="F33" s="184">
        <f t="shared" si="4"/>
        <v>0</v>
      </c>
      <c r="G33" s="184">
        <f t="shared" si="4"/>
        <v>0</v>
      </c>
      <c r="H33" s="185">
        <f t="shared" si="5"/>
        <v>0</v>
      </c>
      <c r="I33" s="185">
        <f t="shared" si="5"/>
        <v>0</v>
      </c>
      <c r="J33" s="183"/>
    </row>
    <row r="34" spans="1:10" s="138" customFormat="1" ht="24.75" customHeight="1">
      <c r="A34" s="198" t="s">
        <v>44</v>
      </c>
      <c r="B34" s="184"/>
      <c r="C34" s="184"/>
      <c r="D34" s="184">
        <f t="shared" si="6"/>
        <v>0</v>
      </c>
      <c r="E34" s="184">
        <f t="shared" si="7"/>
        <v>0</v>
      </c>
      <c r="F34" s="184">
        <f t="shared" si="4"/>
        <v>0</v>
      </c>
      <c r="G34" s="184">
        <f t="shared" si="4"/>
        <v>0</v>
      </c>
      <c r="H34" s="185">
        <f t="shared" si="5"/>
        <v>0</v>
      </c>
      <c r="I34" s="185">
        <f t="shared" si="5"/>
        <v>0</v>
      </c>
      <c r="J34" s="183"/>
    </row>
    <row r="35" spans="1:10" s="138" customFormat="1" ht="24.75" customHeight="1">
      <c r="A35" s="198" t="s">
        <v>45</v>
      </c>
      <c r="B35" s="184">
        <v>1075</v>
      </c>
      <c r="C35" s="184">
        <v>1075</v>
      </c>
      <c r="D35" s="184">
        <v>425</v>
      </c>
      <c r="E35" s="184">
        <v>425</v>
      </c>
      <c r="F35" s="184">
        <v>1500</v>
      </c>
      <c r="G35" s="184">
        <v>1500</v>
      </c>
      <c r="H35" s="185">
        <f t="shared" si="5"/>
        <v>39.53488372093024</v>
      </c>
      <c r="I35" s="185">
        <f t="shared" si="5"/>
        <v>39.53488372093024</v>
      </c>
      <c r="J35" s="183"/>
    </row>
    <row r="36" spans="1:10" s="138" customFormat="1" ht="24.75" customHeight="1">
      <c r="A36" s="198" t="s">
        <v>46</v>
      </c>
      <c r="B36" s="184">
        <v>645</v>
      </c>
      <c r="C36" s="184">
        <v>645</v>
      </c>
      <c r="D36" s="184">
        <f t="shared" si="6"/>
        <v>1255</v>
      </c>
      <c r="E36" s="184">
        <v>1255</v>
      </c>
      <c r="F36" s="184">
        <v>1900</v>
      </c>
      <c r="G36" s="184">
        <v>1900</v>
      </c>
      <c r="H36" s="185">
        <f t="shared" si="5"/>
        <v>194.5736434108527</v>
      </c>
      <c r="I36" s="185">
        <f t="shared" si="5"/>
        <v>194.5736434108527</v>
      </c>
      <c r="J36" s="183"/>
    </row>
    <row r="37" spans="1:10" s="138" customFormat="1" ht="27" customHeight="1">
      <c r="A37" s="187" t="s">
        <v>47</v>
      </c>
      <c r="B37" s="184">
        <v>10298</v>
      </c>
      <c r="C37" s="184">
        <v>10298</v>
      </c>
      <c r="D37" s="184">
        <f t="shared" si="6"/>
        <v>1035.949</v>
      </c>
      <c r="E37" s="184">
        <f>C37*0.1005+1</f>
        <v>1035.949</v>
      </c>
      <c r="F37" s="184">
        <f t="shared" si="4"/>
        <v>11333.949</v>
      </c>
      <c r="G37" s="184">
        <f t="shared" si="4"/>
        <v>11333.949</v>
      </c>
      <c r="H37" s="185">
        <f t="shared" si="5"/>
        <v>10.059710623422035</v>
      </c>
      <c r="I37" s="185">
        <f t="shared" si="5"/>
        <v>10.059710623422035</v>
      </c>
      <c r="J37" s="103"/>
    </row>
    <row r="38" spans="1:10" s="138" customFormat="1" ht="30" customHeight="1">
      <c r="A38" s="198" t="s">
        <v>48</v>
      </c>
      <c r="B38" s="184">
        <v>9562</v>
      </c>
      <c r="C38" s="184">
        <v>1147</v>
      </c>
      <c r="D38" s="184">
        <f t="shared" si="6"/>
        <v>115.27350000000001</v>
      </c>
      <c r="E38" s="184">
        <f t="shared" si="7"/>
        <v>115.27350000000001</v>
      </c>
      <c r="F38" s="184">
        <f>B38+D38</f>
        <v>9677.2735</v>
      </c>
      <c r="G38" s="184">
        <f>C38+E38</f>
        <v>1262.2735</v>
      </c>
      <c r="H38" s="185">
        <f t="shared" si="5"/>
        <v>1.2055375444467664</v>
      </c>
      <c r="I38" s="185">
        <f t="shared" si="5"/>
        <v>10.050000000000004</v>
      </c>
      <c r="J38" s="58"/>
    </row>
    <row r="39" spans="1:10" s="138" customFormat="1" ht="27" customHeight="1">
      <c r="A39" s="198" t="s">
        <v>49</v>
      </c>
      <c r="B39" s="184">
        <v>4282</v>
      </c>
      <c r="C39" s="184">
        <v>4282</v>
      </c>
      <c r="D39" s="184">
        <f t="shared" si="6"/>
        <v>-1005</v>
      </c>
      <c r="E39" s="184">
        <v>-1005</v>
      </c>
      <c r="F39" s="184">
        <v>3277</v>
      </c>
      <c r="G39" s="184">
        <v>3277</v>
      </c>
      <c r="H39" s="185">
        <f t="shared" si="5"/>
        <v>-23.470340962167214</v>
      </c>
      <c r="I39" s="185">
        <f t="shared" si="5"/>
        <v>-23.470340962167214</v>
      </c>
      <c r="J39" s="58"/>
    </row>
    <row r="40" spans="1:10" s="138" customFormat="1" ht="24.75" customHeight="1">
      <c r="A40" s="187" t="s">
        <v>50</v>
      </c>
      <c r="B40" s="184">
        <f>10+42</f>
        <v>52</v>
      </c>
      <c r="C40" s="184"/>
      <c r="D40" s="184">
        <f t="shared" si="6"/>
        <v>0</v>
      </c>
      <c r="E40" s="184">
        <f t="shared" si="7"/>
        <v>0</v>
      </c>
      <c r="F40" s="184">
        <f t="shared" si="4"/>
        <v>52</v>
      </c>
      <c r="G40" s="184">
        <f t="shared" si="4"/>
        <v>0</v>
      </c>
      <c r="H40" s="185">
        <f t="shared" si="5"/>
        <v>0</v>
      </c>
      <c r="I40" s="185">
        <f t="shared" si="5"/>
        <v>0</v>
      </c>
      <c r="J40" s="183"/>
    </row>
    <row r="41" spans="1:10" s="138" customFormat="1" ht="24.75" customHeight="1">
      <c r="A41" s="93" t="s">
        <v>51</v>
      </c>
      <c r="B41" s="184">
        <f>SUM(B6,B27)-1</f>
        <v>320117</v>
      </c>
      <c r="C41" s="184">
        <f>SUM(C6,C27)</f>
        <v>71118</v>
      </c>
      <c r="D41" s="184">
        <f>SUM(D6,D27)</f>
        <v>3705.4365000000007</v>
      </c>
      <c r="E41" s="184">
        <f>SUM(E6,E27)</f>
        <v>2304.8296000000005</v>
      </c>
      <c r="F41" s="184">
        <f t="shared" si="4"/>
        <v>323822.4365</v>
      </c>
      <c r="G41" s="184">
        <f>C41+E41+0.1</f>
        <v>73422.9296</v>
      </c>
      <c r="H41" s="185">
        <f t="shared" si="5"/>
        <v>1.1575256859210903</v>
      </c>
      <c r="I41" s="185">
        <f t="shared" si="5"/>
        <v>3.2409932787761164</v>
      </c>
      <c r="J41" s="183"/>
    </row>
    <row r="42" spans="1:10" s="138" customFormat="1" ht="24.75" customHeight="1">
      <c r="A42" s="188" t="s">
        <v>52</v>
      </c>
      <c r="B42" s="184"/>
      <c r="C42" s="184">
        <f>SUM(C43:C48)</f>
        <v>78224</v>
      </c>
      <c r="D42" s="184"/>
      <c r="E42" s="184">
        <f>SUM(E43:E48)</f>
        <v>55063</v>
      </c>
      <c r="F42" s="189">
        <f aca="true" t="shared" si="8" ref="F42:G48">B42+D42</f>
        <v>0</v>
      </c>
      <c r="G42" s="189">
        <f t="shared" si="8"/>
        <v>133287</v>
      </c>
      <c r="H42" s="190">
        <f aca="true" t="shared" si="9" ref="H42:H49">IF(B42=0,IF(F42=0,0,100),100*(F42/B42-1))</f>
        <v>0</v>
      </c>
      <c r="I42" s="190">
        <f aca="true" t="shared" si="10" ref="I42:I49">IF(C42=0,IF(G42=0,0,100),100*(G42/C42-1))</f>
        <v>70.39143996727346</v>
      </c>
      <c r="J42" s="192"/>
    </row>
    <row r="43" spans="1:10" s="138" customFormat="1" ht="24.75" customHeight="1">
      <c r="A43" s="187" t="s">
        <v>53</v>
      </c>
      <c r="B43" s="184"/>
      <c r="C43" s="184">
        <v>18148</v>
      </c>
      <c r="D43" s="184"/>
      <c r="E43" s="184">
        <v>744</v>
      </c>
      <c r="F43" s="184">
        <f t="shared" si="8"/>
        <v>0</v>
      </c>
      <c r="G43" s="184">
        <f t="shared" si="8"/>
        <v>18892</v>
      </c>
      <c r="H43" s="185">
        <f t="shared" si="9"/>
        <v>0</v>
      </c>
      <c r="I43" s="185">
        <f t="shared" si="10"/>
        <v>4.099625303063692</v>
      </c>
      <c r="J43" s="58"/>
    </row>
    <row r="44" spans="1:10" s="138" customFormat="1" ht="24.75" customHeight="1">
      <c r="A44" s="187" t="s">
        <v>54</v>
      </c>
      <c r="B44" s="184"/>
      <c r="C44" s="184">
        <v>22914</v>
      </c>
      <c r="D44" s="184"/>
      <c r="E44" s="184">
        <v>56208</v>
      </c>
      <c r="F44" s="184">
        <f t="shared" si="8"/>
        <v>0</v>
      </c>
      <c r="G44" s="184">
        <v>79122</v>
      </c>
      <c r="H44" s="185">
        <f t="shared" si="9"/>
        <v>0</v>
      </c>
      <c r="I44" s="185">
        <f t="shared" si="10"/>
        <v>245.29981670594395</v>
      </c>
      <c r="J44" s="58"/>
    </row>
    <row r="45" spans="1:10" s="138" customFormat="1" ht="24.75" customHeight="1">
      <c r="A45" s="187" t="s">
        <v>55</v>
      </c>
      <c r="B45" s="184"/>
      <c r="C45" s="184"/>
      <c r="D45" s="184"/>
      <c r="E45" s="184"/>
      <c r="F45" s="184">
        <f>B45+D45</f>
        <v>0</v>
      </c>
      <c r="G45" s="184">
        <f>C45+E45</f>
        <v>0</v>
      </c>
      <c r="H45" s="185">
        <f t="shared" si="9"/>
        <v>0</v>
      </c>
      <c r="I45" s="185">
        <f t="shared" si="10"/>
        <v>0</v>
      </c>
      <c r="J45" s="58"/>
    </row>
    <row r="46" spans="1:10" s="138" customFormat="1" ht="24.75" customHeight="1">
      <c r="A46" s="187" t="s">
        <v>56</v>
      </c>
      <c r="B46" s="184"/>
      <c r="C46" s="184">
        <v>8466</v>
      </c>
      <c r="D46" s="184"/>
      <c r="E46" s="184">
        <v>-517</v>
      </c>
      <c r="F46" s="184">
        <f t="shared" si="8"/>
        <v>0</v>
      </c>
      <c r="G46" s="184">
        <f t="shared" si="8"/>
        <v>7949</v>
      </c>
      <c r="H46" s="185">
        <f t="shared" si="9"/>
        <v>0</v>
      </c>
      <c r="I46" s="185">
        <f t="shared" si="10"/>
        <v>-6.106780061422157</v>
      </c>
      <c r="J46" s="183" t="s">
        <v>57</v>
      </c>
    </row>
    <row r="47" spans="1:10" s="138" customFormat="1" ht="24.75" customHeight="1">
      <c r="A47" s="187" t="s">
        <v>58</v>
      </c>
      <c r="B47" s="186"/>
      <c r="C47" s="186">
        <v>6423</v>
      </c>
      <c r="D47" s="184"/>
      <c r="E47" s="184">
        <v>-72</v>
      </c>
      <c r="F47" s="184">
        <f t="shared" si="8"/>
        <v>0</v>
      </c>
      <c r="G47" s="184">
        <f t="shared" si="8"/>
        <v>6351</v>
      </c>
      <c r="H47" s="185">
        <f t="shared" si="9"/>
        <v>0</v>
      </c>
      <c r="I47" s="185">
        <f t="shared" si="10"/>
        <v>-1.1209715086408223</v>
      </c>
      <c r="J47" s="183"/>
    </row>
    <row r="48" spans="1:10" s="138" customFormat="1" ht="24.75" customHeight="1">
      <c r="A48" s="198" t="s">
        <v>59</v>
      </c>
      <c r="B48" s="186"/>
      <c r="C48" s="186">
        <v>22273</v>
      </c>
      <c r="D48" s="184"/>
      <c r="E48" s="184">
        <v>-1300</v>
      </c>
      <c r="F48" s="184">
        <f t="shared" si="8"/>
        <v>0</v>
      </c>
      <c r="G48" s="184">
        <f t="shared" si="8"/>
        <v>20973</v>
      </c>
      <c r="H48" s="185">
        <f t="shared" si="9"/>
        <v>0</v>
      </c>
      <c r="I48" s="185">
        <f t="shared" si="10"/>
        <v>-5.8366632245319465</v>
      </c>
      <c r="J48" s="183" t="s">
        <v>60</v>
      </c>
    </row>
    <row r="49" spans="1:10" s="138" customFormat="1" ht="24.75" customHeight="1">
      <c r="A49" s="93" t="s">
        <v>61</v>
      </c>
      <c r="B49" s="184">
        <f aca="true" t="shared" si="11" ref="B49:G49">B42+B41</f>
        <v>320117</v>
      </c>
      <c r="C49" s="186">
        <f t="shared" si="11"/>
        <v>149342</v>
      </c>
      <c r="D49" s="184">
        <f t="shared" si="11"/>
        <v>3705.4365000000007</v>
      </c>
      <c r="E49" s="184">
        <f t="shared" si="11"/>
        <v>57367.8296</v>
      </c>
      <c r="F49" s="184">
        <f t="shared" si="11"/>
        <v>323822.4365</v>
      </c>
      <c r="G49" s="184">
        <f t="shared" si="11"/>
        <v>206709.9296</v>
      </c>
      <c r="H49" s="185">
        <f t="shared" si="9"/>
        <v>1.1575256859210903</v>
      </c>
      <c r="I49" s="185">
        <f t="shared" si="10"/>
        <v>38.41379491368804</v>
      </c>
      <c r="J49" s="183"/>
    </row>
    <row r="52" ht="14.25">
      <c r="A52" s="175"/>
    </row>
  </sheetData>
  <sheetProtection/>
  <mergeCells count="7">
    <mergeCell ref="A2:J2"/>
    <mergeCell ref="B4:C4"/>
    <mergeCell ref="D4:E4"/>
    <mergeCell ref="F4:G4"/>
    <mergeCell ref="H4:I4"/>
    <mergeCell ref="A4:A5"/>
    <mergeCell ref="J4:J5"/>
  </mergeCells>
  <printOptions/>
  <pageMargins left="0.87" right="0.23999999999999996" top="0.47" bottom="0.55" header="0.23999999999999996" footer="0.35"/>
  <pageSetup horizontalDpi="600" verticalDpi="600" orientation="landscape" paperSize="9" scale="85"/>
  <headerFooter alignWithMargins="0">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449"/>
  <sheetViews>
    <sheetView showGridLines="0" showZeros="0" zoomScale="85" zoomScaleNormal="85" workbookViewId="0" topLeftCell="A1">
      <pane ySplit="6" topLeftCell="A427" activePane="bottomLeft" state="frozen"/>
      <selection pane="bottomLeft" activeCell="K458" sqref="K458"/>
    </sheetView>
  </sheetViews>
  <sheetFormatPr defaultColWidth="9.00390625" defaultRowHeight="14.25" customHeight="1"/>
  <cols>
    <col min="1" max="1" width="9.75390625" style="139" customWidth="1"/>
    <col min="2" max="2" width="24.50390625" style="75" customWidth="1"/>
    <col min="3" max="19" width="8.875" style="140" customWidth="1"/>
    <col min="20" max="20" width="19.50390625" style="76" customWidth="1"/>
    <col min="21" max="16384" width="9.00390625" style="75" customWidth="1"/>
  </cols>
  <sheetData>
    <row r="1" spans="1:20" s="138" customFormat="1" ht="31.5" customHeight="1">
      <c r="A1" s="141" t="s">
        <v>62</v>
      </c>
      <c r="C1" s="142"/>
      <c r="D1" s="142"/>
      <c r="E1" s="142"/>
      <c r="F1" s="142"/>
      <c r="G1" s="142"/>
      <c r="H1" s="142"/>
      <c r="I1" s="142"/>
      <c r="J1" s="142"/>
      <c r="K1" s="142"/>
      <c r="L1" s="142"/>
      <c r="M1" s="142"/>
      <c r="N1" s="142"/>
      <c r="O1" s="142"/>
      <c r="P1" s="142"/>
      <c r="Q1" s="142"/>
      <c r="R1" s="142"/>
      <c r="S1" s="142"/>
      <c r="T1" s="166"/>
    </row>
    <row r="2" spans="1:20" s="138" customFormat="1" ht="54" customHeight="1">
      <c r="A2" s="143" t="s">
        <v>63</v>
      </c>
      <c r="B2" s="143"/>
      <c r="C2" s="143"/>
      <c r="D2" s="143"/>
      <c r="E2" s="143"/>
      <c r="F2" s="143"/>
      <c r="G2" s="143"/>
      <c r="H2" s="143"/>
      <c r="I2" s="143"/>
      <c r="J2" s="143"/>
      <c r="K2" s="143"/>
      <c r="L2" s="143"/>
      <c r="M2" s="143"/>
      <c r="N2" s="143"/>
      <c r="O2" s="143"/>
      <c r="P2" s="143"/>
      <c r="Q2" s="143"/>
      <c r="R2" s="143"/>
      <c r="S2" s="143"/>
      <c r="T2" s="143"/>
    </row>
    <row r="3" spans="1:20" s="138" customFormat="1" ht="34.5" customHeight="1">
      <c r="A3" s="144" t="s">
        <v>7</v>
      </c>
      <c r="B3" s="144"/>
      <c r="C3" s="145"/>
      <c r="D3" s="145"/>
      <c r="E3" s="145"/>
      <c r="F3" s="145"/>
      <c r="G3" s="145"/>
      <c r="H3" s="145"/>
      <c r="I3" s="145"/>
      <c r="J3" s="145"/>
      <c r="K3" s="145"/>
      <c r="L3" s="145"/>
      <c r="M3" s="145"/>
      <c r="N3" s="145"/>
      <c r="O3" s="145"/>
      <c r="P3" s="145"/>
      <c r="Q3" s="145"/>
      <c r="R3" s="145"/>
      <c r="S3" s="145"/>
      <c r="T3" s="144"/>
    </row>
    <row r="4" spans="1:20" ht="25.5" customHeight="1">
      <c r="A4" s="146" t="s">
        <v>64</v>
      </c>
      <c r="B4" s="147"/>
      <c r="C4" s="148" t="s">
        <v>65</v>
      </c>
      <c r="D4" s="148"/>
      <c r="E4" s="148"/>
      <c r="F4" s="148" t="s">
        <v>66</v>
      </c>
      <c r="G4" s="148"/>
      <c r="H4" s="148"/>
      <c r="I4" s="148"/>
      <c r="J4" s="148"/>
      <c r="K4" s="160" t="s">
        <v>67</v>
      </c>
      <c r="L4" s="161"/>
      <c r="M4" s="162"/>
      <c r="N4" s="151" t="s">
        <v>68</v>
      </c>
      <c r="O4" s="148" t="s">
        <v>69</v>
      </c>
      <c r="P4" s="148"/>
      <c r="Q4" s="148"/>
      <c r="R4" s="152" t="s">
        <v>70</v>
      </c>
      <c r="S4" s="151" t="s">
        <v>71</v>
      </c>
      <c r="T4" s="167" t="s">
        <v>13</v>
      </c>
    </row>
    <row r="5" spans="1:20" ht="25.5" customHeight="1">
      <c r="A5" s="149"/>
      <c r="B5" s="150"/>
      <c r="C5" s="151" t="s">
        <v>72</v>
      </c>
      <c r="D5" s="151" t="s">
        <v>73</v>
      </c>
      <c r="E5" s="151" t="s">
        <v>74</v>
      </c>
      <c r="F5" s="152" t="s">
        <v>72</v>
      </c>
      <c r="G5" s="152"/>
      <c r="H5" s="152"/>
      <c r="I5" s="152"/>
      <c r="J5" s="152" t="s">
        <v>73</v>
      </c>
      <c r="K5" s="163" t="s">
        <v>72</v>
      </c>
      <c r="L5" s="152" t="s">
        <v>73</v>
      </c>
      <c r="M5" s="152" t="s">
        <v>74</v>
      </c>
      <c r="N5" s="164"/>
      <c r="O5" s="163" t="s">
        <v>75</v>
      </c>
      <c r="P5" s="152" t="s">
        <v>76</v>
      </c>
      <c r="Q5" s="152" t="s">
        <v>77</v>
      </c>
      <c r="R5" s="152"/>
      <c r="S5" s="168"/>
      <c r="T5" s="167"/>
    </row>
    <row r="6" spans="1:20" ht="49.5" customHeight="1">
      <c r="A6" s="153" t="s">
        <v>78</v>
      </c>
      <c r="B6" s="154" t="s">
        <v>79</v>
      </c>
      <c r="C6" s="155"/>
      <c r="D6" s="155"/>
      <c r="E6" s="155"/>
      <c r="F6" s="152" t="s">
        <v>80</v>
      </c>
      <c r="G6" s="152" t="s">
        <v>81</v>
      </c>
      <c r="H6" s="152" t="s">
        <v>82</v>
      </c>
      <c r="I6" s="152" t="s">
        <v>83</v>
      </c>
      <c r="J6" s="152" t="s">
        <v>84</v>
      </c>
      <c r="K6" s="163"/>
      <c r="L6" s="152"/>
      <c r="M6" s="152"/>
      <c r="N6" s="165"/>
      <c r="O6" s="163"/>
      <c r="P6" s="152"/>
      <c r="Q6" s="152"/>
      <c r="R6" s="152"/>
      <c r="S6" s="155"/>
      <c r="T6" s="167"/>
    </row>
    <row r="7" spans="1:20" ht="28.5" customHeight="1">
      <c r="A7" s="156">
        <v>201</v>
      </c>
      <c r="B7" s="157" t="s">
        <v>85</v>
      </c>
      <c r="C7" s="158">
        <f aca="true" t="shared" si="0" ref="C7:I7">C8+C16+C22+C26+C31+C36+C42+C44+C50+C53+C58+C62+C66+C73+C77+C80+C87+C91+C95+C98+C102+C105+C108+C111</f>
        <v>12850.440000000002</v>
      </c>
      <c r="D7" s="158">
        <f t="shared" si="0"/>
        <v>97.74000000000001</v>
      </c>
      <c r="E7" s="158">
        <f aca="true" t="shared" si="1" ref="E7:E63">C7+D7</f>
        <v>12948.180000000002</v>
      </c>
      <c r="F7" s="158">
        <f t="shared" si="0"/>
        <v>1098.3</v>
      </c>
      <c r="G7" s="158">
        <f t="shared" si="0"/>
        <v>0</v>
      </c>
      <c r="H7" s="158">
        <f t="shared" si="0"/>
        <v>0</v>
      </c>
      <c r="I7" s="158">
        <f t="shared" si="0"/>
        <v>1601.88</v>
      </c>
      <c r="J7" s="158">
        <f>J8+J16+J22+J26+J31+J36+J42+J44+J50+J53+J58+J62+J66+J73+J77+J80+J87+J91+J95+J98+J102+J105+J108+J111+J85</f>
        <v>523.2470000000001</v>
      </c>
      <c r="K7" s="158">
        <f aca="true" t="shared" si="2" ref="K7:Q7">K8+K16+K22+K26+K31+K36+K42+K44+K50+K53+K58+K62+K66+K73+K77+K80+K87+K91+K95+K98+K102+K105+K108+K111</f>
        <v>15550.62</v>
      </c>
      <c r="L7" s="158">
        <v>620.987</v>
      </c>
      <c r="M7" s="158">
        <f aca="true" t="shared" si="3" ref="M7:M63">K7+L7</f>
        <v>16171.607</v>
      </c>
      <c r="N7" s="158">
        <f aca="true" t="shared" si="4" ref="N7:N63">(M7/E7-1)*100</f>
        <v>24.89482691775986</v>
      </c>
      <c r="O7" s="158">
        <f t="shared" si="2"/>
        <v>15550.62</v>
      </c>
      <c r="P7" s="158">
        <f t="shared" si="2"/>
        <v>8481.69</v>
      </c>
      <c r="Q7" s="158">
        <f t="shared" si="2"/>
        <v>7068.929999999999</v>
      </c>
      <c r="R7" s="158">
        <f>R8+R16+R22+R26+R31+R36+R42+R44+R50+R53+R58+R62+R66+R73+R77+R80+R87+R91+R95+R98+R102+R105+R108+R111+R85</f>
        <v>620.987</v>
      </c>
      <c r="S7" s="158">
        <f>S8+S16+S22+S26+S31+S36+S42+S44+S50+S53+S58+S62+S66+S73+S77+S80+S87+S91+S95+S98+S102+S105+S108+S111+S85</f>
        <v>16171.607</v>
      </c>
      <c r="T7" s="169"/>
    </row>
    <row r="8" spans="1:20" ht="28.5" customHeight="1">
      <c r="A8" s="156">
        <v>20101</v>
      </c>
      <c r="B8" s="157" t="s">
        <v>86</v>
      </c>
      <c r="C8" s="158">
        <v>393.32</v>
      </c>
      <c r="D8" s="158"/>
      <c r="E8" s="158">
        <f t="shared" si="1"/>
        <v>393.32</v>
      </c>
      <c r="F8" s="158">
        <v>4</v>
      </c>
      <c r="G8" s="158">
        <v>0</v>
      </c>
      <c r="H8" s="158">
        <v>0</v>
      </c>
      <c r="I8" s="158">
        <v>91.77</v>
      </c>
      <c r="J8" s="158">
        <f aca="true" t="shared" si="5" ref="J8:J71">L8-D8</f>
        <v>0</v>
      </c>
      <c r="K8" s="158">
        <v>489.09</v>
      </c>
      <c r="L8" s="158"/>
      <c r="M8" s="158">
        <f t="shared" si="3"/>
        <v>489.09</v>
      </c>
      <c r="N8" s="158">
        <f t="shared" si="4"/>
        <v>24.349130478999292</v>
      </c>
      <c r="O8" s="158">
        <v>489.09</v>
      </c>
      <c r="P8" s="158">
        <v>315.42</v>
      </c>
      <c r="Q8" s="158">
        <v>173.67</v>
      </c>
      <c r="R8" s="158">
        <f aca="true" t="shared" si="6" ref="R8:R71">L8</f>
        <v>0</v>
      </c>
      <c r="S8" s="158">
        <f aca="true" t="shared" si="7" ref="S8:S71">M8</f>
        <v>489.09</v>
      </c>
      <c r="T8" s="169"/>
    </row>
    <row r="9" spans="1:20" ht="54" customHeight="1">
      <c r="A9" s="156">
        <v>2010101</v>
      </c>
      <c r="B9" s="157" t="s">
        <v>87</v>
      </c>
      <c r="C9" s="158">
        <v>272.92</v>
      </c>
      <c r="D9" s="158"/>
      <c r="E9" s="158">
        <f t="shared" si="1"/>
        <v>272.92</v>
      </c>
      <c r="F9" s="158">
        <v>4</v>
      </c>
      <c r="G9" s="158">
        <v>0</v>
      </c>
      <c r="H9" s="158">
        <v>0</v>
      </c>
      <c r="I9" s="158">
        <v>71.77</v>
      </c>
      <c r="J9" s="158">
        <f t="shared" si="5"/>
        <v>0</v>
      </c>
      <c r="K9" s="158">
        <v>348.69</v>
      </c>
      <c r="L9" s="158"/>
      <c r="M9" s="158">
        <f t="shared" si="3"/>
        <v>348.69</v>
      </c>
      <c r="N9" s="158">
        <f t="shared" si="4"/>
        <v>27.76271434852704</v>
      </c>
      <c r="O9" s="158">
        <v>348.69</v>
      </c>
      <c r="P9" s="158">
        <v>233.42</v>
      </c>
      <c r="Q9" s="158">
        <v>115.27</v>
      </c>
      <c r="R9" s="158">
        <f t="shared" si="6"/>
        <v>0</v>
      </c>
      <c r="S9" s="158">
        <f t="shared" si="7"/>
        <v>348.69</v>
      </c>
      <c r="T9" s="169" t="s">
        <v>88</v>
      </c>
    </row>
    <row r="10" spans="1:20" ht="28.5" customHeight="1">
      <c r="A10" s="156">
        <v>2010102</v>
      </c>
      <c r="B10" s="157" t="s">
        <v>89</v>
      </c>
      <c r="C10" s="158">
        <v>16</v>
      </c>
      <c r="D10" s="158"/>
      <c r="E10" s="158">
        <f t="shared" si="1"/>
        <v>16</v>
      </c>
      <c r="F10" s="158">
        <v>0</v>
      </c>
      <c r="G10" s="158">
        <v>0</v>
      </c>
      <c r="H10" s="158">
        <v>0</v>
      </c>
      <c r="I10" s="158">
        <v>0</v>
      </c>
      <c r="J10" s="158">
        <f t="shared" si="5"/>
        <v>0</v>
      </c>
      <c r="K10" s="158">
        <v>16</v>
      </c>
      <c r="L10" s="158"/>
      <c r="M10" s="158">
        <f t="shared" si="3"/>
        <v>16</v>
      </c>
      <c r="N10" s="158">
        <f t="shared" si="4"/>
        <v>0</v>
      </c>
      <c r="O10" s="158">
        <v>16</v>
      </c>
      <c r="P10" s="158">
        <v>0</v>
      </c>
      <c r="Q10" s="158">
        <v>16</v>
      </c>
      <c r="R10" s="158">
        <f t="shared" si="6"/>
        <v>0</v>
      </c>
      <c r="S10" s="158">
        <f t="shared" si="7"/>
        <v>16</v>
      </c>
      <c r="T10" s="169"/>
    </row>
    <row r="11" spans="1:20" ht="28.5" customHeight="1">
      <c r="A11" s="156">
        <v>2010104</v>
      </c>
      <c r="B11" s="157" t="s">
        <v>90</v>
      </c>
      <c r="C11" s="158">
        <v>29</v>
      </c>
      <c r="D11" s="158"/>
      <c r="E11" s="158">
        <f t="shared" si="1"/>
        <v>29</v>
      </c>
      <c r="F11" s="158">
        <v>0</v>
      </c>
      <c r="G11" s="158">
        <v>0</v>
      </c>
      <c r="H11" s="158">
        <v>0</v>
      </c>
      <c r="I11" s="158">
        <v>0</v>
      </c>
      <c r="J11" s="158">
        <f t="shared" si="5"/>
        <v>0</v>
      </c>
      <c r="K11" s="158">
        <v>29</v>
      </c>
      <c r="L11" s="158"/>
      <c r="M11" s="158">
        <f t="shared" si="3"/>
        <v>29</v>
      </c>
      <c r="N11" s="158">
        <f t="shared" si="4"/>
        <v>0</v>
      </c>
      <c r="O11" s="158">
        <v>29</v>
      </c>
      <c r="P11" s="158">
        <v>29</v>
      </c>
      <c r="Q11" s="158">
        <v>0</v>
      </c>
      <c r="R11" s="158">
        <f t="shared" si="6"/>
        <v>0</v>
      </c>
      <c r="S11" s="158">
        <f t="shared" si="7"/>
        <v>29</v>
      </c>
      <c r="T11" s="169"/>
    </row>
    <row r="12" spans="1:20" ht="28.5" customHeight="1">
      <c r="A12" s="156">
        <v>2010106</v>
      </c>
      <c r="B12" s="157" t="s">
        <v>91</v>
      </c>
      <c r="C12" s="158">
        <v>9</v>
      </c>
      <c r="D12" s="158"/>
      <c r="E12" s="158">
        <f t="shared" si="1"/>
        <v>9</v>
      </c>
      <c r="F12" s="158">
        <v>0</v>
      </c>
      <c r="G12" s="158">
        <v>0</v>
      </c>
      <c r="H12" s="158">
        <v>0</v>
      </c>
      <c r="I12" s="158">
        <v>0</v>
      </c>
      <c r="J12" s="158">
        <f t="shared" si="5"/>
        <v>0</v>
      </c>
      <c r="K12" s="158">
        <v>9</v>
      </c>
      <c r="L12" s="158"/>
      <c r="M12" s="158">
        <f t="shared" si="3"/>
        <v>9</v>
      </c>
      <c r="N12" s="158">
        <f t="shared" si="4"/>
        <v>0</v>
      </c>
      <c r="O12" s="158">
        <v>9</v>
      </c>
      <c r="P12" s="158">
        <v>0</v>
      </c>
      <c r="Q12" s="158">
        <v>9</v>
      </c>
      <c r="R12" s="158">
        <f t="shared" si="6"/>
        <v>0</v>
      </c>
      <c r="S12" s="158">
        <f t="shared" si="7"/>
        <v>9</v>
      </c>
      <c r="T12" s="169"/>
    </row>
    <row r="13" spans="1:20" ht="28.5" customHeight="1">
      <c r="A13" s="156">
        <v>2010107</v>
      </c>
      <c r="B13" s="157" t="s">
        <v>92</v>
      </c>
      <c r="C13" s="158">
        <v>4</v>
      </c>
      <c r="D13" s="158"/>
      <c r="E13" s="158">
        <f t="shared" si="1"/>
        <v>4</v>
      </c>
      <c r="F13" s="158">
        <v>0</v>
      </c>
      <c r="G13" s="158">
        <v>0</v>
      </c>
      <c r="H13" s="158">
        <v>0</v>
      </c>
      <c r="I13" s="158">
        <v>0</v>
      </c>
      <c r="J13" s="158">
        <f t="shared" si="5"/>
        <v>0</v>
      </c>
      <c r="K13" s="158">
        <v>4</v>
      </c>
      <c r="L13" s="158"/>
      <c r="M13" s="158">
        <f t="shared" si="3"/>
        <v>4</v>
      </c>
      <c r="N13" s="158">
        <f t="shared" si="4"/>
        <v>0</v>
      </c>
      <c r="O13" s="158">
        <v>4</v>
      </c>
      <c r="P13" s="158">
        <v>4</v>
      </c>
      <c r="Q13" s="158">
        <v>0</v>
      </c>
      <c r="R13" s="158">
        <f t="shared" si="6"/>
        <v>0</v>
      </c>
      <c r="S13" s="158">
        <f t="shared" si="7"/>
        <v>4</v>
      </c>
      <c r="T13" s="169"/>
    </row>
    <row r="14" spans="1:20" ht="39" customHeight="1">
      <c r="A14" s="156">
        <v>2010108</v>
      </c>
      <c r="B14" s="157" t="s">
        <v>93</v>
      </c>
      <c r="C14" s="158">
        <v>52.4</v>
      </c>
      <c r="D14" s="158"/>
      <c r="E14" s="158">
        <f t="shared" si="1"/>
        <v>52.4</v>
      </c>
      <c r="F14" s="158">
        <v>0</v>
      </c>
      <c r="G14" s="158">
        <v>0</v>
      </c>
      <c r="H14" s="158">
        <v>0</v>
      </c>
      <c r="I14" s="158">
        <v>20</v>
      </c>
      <c r="J14" s="158">
        <f t="shared" si="5"/>
        <v>0</v>
      </c>
      <c r="K14" s="158">
        <v>72.4</v>
      </c>
      <c r="L14" s="158"/>
      <c r="M14" s="158">
        <f t="shared" si="3"/>
        <v>72.4</v>
      </c>
      <c r="N14" s="158">
        <f t="shared" si="4"/>
        <v>38.167938931297726</v>
      </c>
      <c r="O14" s="158">
        <v>72.4</v>
      </c>
      <c r="P14" s="158">
        <v>40</v>
      </c>
      <c r="Q14" s="158">
        <v>32.4</v>
      </c>
      <c r="R14" s="158">
        <f t="shared" si="6"/>
        <v>0</v>
      </c>
      <c r="S14" s="158">
        <f t="shared" si="7"/>
        <v>72.4</v>
      </c>
      <c r="T14" s="169" t="s">
        <v>94</v>
      </c>
    </row>
    <row r="15" spans="1:20" ht="28.5" customHeight="1">
      <c r="A15" s="156">
        <v>2010199</v>
      </c>
      <c r="B15" s="157" t="s">
        <v>95</v>
      </c>
      <c r="C15" s="158">
        <v>10</v>
      </c>
      <c r="D15" s="158"/>
      <c r="E15" s="158">
        <f t="shared" si="1"/>
        <v>10</v>
      </c>
      <c r="F15" s="158">
        <v>0</v>
      </c>
      <c r="G15" s="158">
        <v>0</v>
      </c>
      <c r="H15" s="158">
        <v>0</v>
      </c>
      <c r="I15" s="158">
        <v>0</v>
      </c>
      <c r="J15" s="158">
        <f t="shared" si="5"/>
        <v>0</v>
      </c>
      <c r="K15" s="158">
        <v>10</v>
      </c>
      <c r="L15" s="158"/>
      <c r="M15" s="158">
        <f t="shared" si="3"/>
        <v>10</v>
      </c>
      <c r="N15" s="158">
        <f t="shared" si="4"/>
        <v>0</v>
      </c>
      <c r="O15" s="158">
        <v>10</v>
      </c>
      <c r="P15" s="158">
        <v>9</v>
      </c>
      <c r="Q15" s="158">
        <v>1</v>
      </c>
      <c r="R15" s="158">
        <f t="shared" si="6"/>
        <v>0</v>
      </c>
      <c r="S15" s="158">
        <f t="shared" si="7"/>
        <v>10</v>
      </c>
      <c r="T15" s="169"/>
    </row>
    <row r="16" spans="1:20" ht="28.5" customHeight="1">
      <c r="A16" s="156">
        <v>20102</v>
      </c>
      <c r="B16" s="157" t="s">
        <v>96</v>
      </c>
      <c r="C16" s="158">
        <v>208.06</v>
      </c>
      <c r="D16" s="158"/>
      <c r="E16" s="158">
        <f t="shared" si="1"/>
        <v>208.06</v>
      </c>
      <c r="F16" s="158">
        <v>2.61</v>
      </c>
      <c r="G16" s="158">
        <v>0</v>
      </c>
      <c r="H16" s="158">
        <v>0</v>
      </c>
      <c r="I16" s="158">
        <v>33.28</v>
      </c>
      <c r="J16" s="158">
        <f t="shared" si="5"/>
        <v>0</v>
      </c>
      <c r="K16" s="158">
        <v>243.95</v>
      </c>
      <c r="L16" s="158"/>
      <c r="M16" s="158">
        <f t="shared" si="3"/>
        <v>243.95</v>
      </c>
      <c r="N16" s="158">
        <f t="shared" si="4"/>
        <v>17.24983177929442</v>
      </c>
      <c r="O16" s="158">
        <v>243.95</v>
      </c>
      <c r="P16" s="158">
        <v>159.25</v>
      </c>
      <c r="Q16" s="158">
        <v>84.7</v>
      </c>
      <c r="R16" s="158">
        <f t="shared" si="6"/>
        <v>0</v>
      </c>
      <c r="S16" s="158">
        <f t="shared" si="7"/>
        <v>243.95</v>
      </c>
      <c r="T16" s="169"/>
    </row>
    <row r="17" spans="1:20" ht="66.75" customHeight="1">
      <c r="A17" s="156">
        <v>2010201</v>
      </c>
      <c r="B17" s="157" t="s">
        <v>87</v>
      </c>
      <c r="C17" s="158">
        <v>164.06</v>
      </c>
      <c r="D17" s="158"/>
      <c r="E17" s="158">
        <f t="shared" si="1"/>
        <v>164.06</v>
      </c>
      <c r="F17" s="158">
        <v>2.61</v>
      </c>
      <c r="G17" s="158">
        <v>0</v>
      </c>
      <c r="H17" s="158">
        <v>0</v>
      </c>
      <c r="I17" s="158">
        <v>33.28</v>
      </c>
      <c r="J17" s="158">
        <f t="shared" si="5"/>
        <v>0</v>
      </c>
      <c r="K17" s="158">
        <v>199.95</v>
      </c>
      <c r="L17" s="158"/>
      <c r="M17" s="158">
        <f t="shared" si="3"/>
        <v>199.95</v>
      </c>
      <c r="N17" s="158">
        <f t="shared" si="4"/>
        <v>21.87614287455808</v>
      </c>
      <c r="O17" s="158">
        <v>199.95</v>
      </c>
      <c r="P17" s="158">
        <v>127.25</v>
      </c>
      <c r="Q17" s="158">
        <v>72.7</v>
      </c>
      <c r="R17" s="158">
        <f t="shared" si="6"/>
        <v>0</v>
      </c>
      <c r="S17" s="158">
        <f t="shared" si="7"/>
        <v>199.95</v>
      </c>
      <c r="T17" s="169" t="s">
        <v>97</v>
      </c>
    </row>
    <row r="18" spans="1:20" ht="28.5" customHeight="1">
      <c r="A18" s="156">
        <v>2010204</v>
      </c>
      <c r="B18" s="157" t="s">
        <v>98</v>
      </c>
      <c r="C18" s="158">
        <v>22</v>
      </c>
      <c r="D18" s="158"/>
      <c r="E18" s="158">
        <f t="shared" si="1"/>
        <v>22</v>
      </c>
      <c r="F18" s="158">
        <v>0</v>
      </c>
      <c r="G18" s="158">
        <v>0</v>
      </c>
      <c r="H18" s="158">
        <v>0</v>
      </c>
      <c r="I18" s="158">
        <v>0</v>
      </c>
      <c r="J18" s="158">
        <f t="shared" si="5"/>
        <v>0</v>
      </c>
      <c r="K18" s="158">
        <v>22</v>
      </c>
      <c r="L18" s="158"/>
      <c r="M18" s="158">
        <f t="shared" si="3"/>
        <v>22</v>
      </c>
      <c r="N18" s="158">
        <f t="shared" si="4"/>
        <v>0</v>
      </c>
      <c r="O18" s="158">
        <v>22</v>
      </c>
      <c r="P18" s="158">
        <v>22</v>
      </c>
      <c r="Q18" s="158">
        <v>0</v>
      </c>
      <c r="R18" s="158">
        <f t="shared" si="6"/>
        <v>0</v>
      </c>
      <c r="S18" s="158">
        <f t="shared" si="7"/>
        <v>22</v>
      </c>
      <c r="T18" s="169"/>
    </row>
    <row r="19" spans="1:20" ht="28.5" customHeight="1">
      <c r="A19" s="156">
        <v>2010205</v>
      </c>
      <c r="B19" s="157" t="s">
        <v>99</v>
      </c>
      <c r="C19" s="158">
        <v>10</v>
      </c>
      <c r="D19" s="158"/>
      <c r="E19" s="158">
        <f t="shared" si="1"/>
        <v>10</v>
      </c>
      <c r="F19" s="158">
        <v>0</v>
      </c>
      <c r="G19" s="158">
        <v>0</v>
      </c>
      <c r="H19" s="158">
        <v>0</v>
      </c>
      <c r="I19" s="158">
        <v>0</v>
      </c>
      <c r="J19" s="158">
        <f t="shared" si="5"/>
        <v>0</v>
      </c>
      <c r="K19" s="158">
        <v>10</v>
      </c>
      <c r="L19" s="158"/>
      <c r="M19" s="158">
        <f t="shared" si="3"/>
        <v>10</v>
      </c>
      <c r="N19" s="158">
        <f t="shared" si="4"/>
        <v>0</v>
      </c>
      <c r="O19" s="158">
        <v>10</v>
      </c>
      <c r="P19" s="158">
        <v>10</v>
      </c>
      <c r="Q19" s="158">
        <v>0</v>
      </c>
      <c r="R19" s="158">
        <f t="shared" si="6"/>
        <v>0</v>
      </c>
      <c r="S19" s="158">
        <f t="shared" si="7"/>
        <v>10</v>
      </c>
      <c r="T19" s="169"/>
    </row>
    <row r="20" spans="1:20" ht="28.5" customHeight="1">
      <c r="A20" s="156">
        <v>2010206</v>
      </c>
      <c r="B20" s="157" t="s">
        <v>100</v>
      </c>
      <c r="C20" s="158">
        <v>9</v>
      </c>
      <c r="D20" s="158"/>
      <c r="E20" s="158">
        <f t="shared" si="1"/>
        <v>9</v>
      </c>
      <c r="F20" s="158">
        <v>0</v>
      </c>
      <c r="G20" s="158">
        <v>0</v>
      </c>
      <c r="H20" s="158">
        <v>0</v>
      </c>
      <c r="I20" s="158">
        <v>0</v>
      </c>
      <c r="J20" s="158">
        <f t="shared" si="5"/>
        <v>0</v>
      </c>
      <c r="K20" s="158">
        <v>9</v>
      </c>
      <c r="L20" s="158"/>
      <c r="M20" s="158">
        <f t="shared" si="3"/>
        <v>9</v>
      </c>
      <c r="N20" s="158">
        <f t="shared" si="4"/>
        <v>0</v>
      </c>
      <c r="O20" s="158">
        <v>9</v>
      </c>
      <c r="P20" s="158">
        <v>0</v>
      </c>
      <c r="Q20" s="158">
        <v>9</v>
      </c>
      <c r="R20" s="158">
        <f t="shared" si="6"/>
        <v>0</v>
      </c>
      <c r="S20" s="158">
        <f t="shared" si="7"/>
        <v>9</v>
      </c>
      <c r="T20" s="169"/>
    </row>
    <row r="21" spans="1:20" ht="28.5" customHeight="1">
      <c r="A21" s="156">
        <v>2010299</v>
      </c>
      <c r="B21" s="157" t="s">
        <v>101</v>
      </c>
      <c r="C21" s="158">
        <v>3</v>
      </c>
      <c r="D21" s="158"/>
      <c r="E21" s="158">
        <f t="shared" si="1"/>
        <v>3</v>
      </c>
      <c r="F21" s="158">
        <v>0</v>
      </c>
      <c r="G21" s="158">
        <v>0</v>
      </c>
      <c r="H21" s="158">
        <v>0</v>
      </c>
      <c r="I21" s="158">
        <v>0</v>
      </c>
      <c r="J21" s="158">
        <f t="shared" si="5"/>
        <v>0</v>
      </c>
      <c r="K21" s="158">
        <v>3</v>
      </c>
      <c r="L21" s="158"/>
      <c r="M21" s="158">
        <f t="shared" si="3"/>
        <v>3</v>
      </c>
      <c r="N21" s="158">
        <f t="shared" si="4"/>
        <v>0</v>
      </c>
      <c r="O21" s="158">
        <v>3</v>
      </c>
      <c r="P21" s="158">
        <v>0</v>
      </c>
      <c r="Q21" s="158">
        <v>3</v>
      </c>
      <c r="R21" s="158">
        <f t="shared" si="6"/>
        <v>0</v>
      </c>
      <c r="S21" s="158">
        <f t="shared" si="7"/>
        <v>3</v>
      </c>
      <c r="T21" s="169"/>
    </row>
    <row r="22" spans="1:20" ht="39" customHeight="1">
      <c r="A22" s="156">
        <v>20103</v>
      </c>
      <c r="B22" s="157" t="s">
        <v>102</v>
      </c>
      <c r="C22" s="158">
        <v>3845.87</v>
      </c>
      <c r="D22" s="158"/>
      <c r="E22" s="158">
        <f t="shared" si="1"/>
        <v>3845.87</v>
      </c>
      <c r="F22" s="158">
        <v>191.9</v>
      </c>
      <c r="G22" s="158">
        <v>0</v>
      </c>
      <c r="H22" s="158">
        <v>0</v>
      </c>
      <c r="I22" s="158">
        <v>54.77</v>
      </c>
      <c r="J22" s="158">
        <f t="shared" si="5"/>
        <v>0</v>
      </c>
      <c r="K22" s="158">
        <v>4092.54</v>
      </c>
      <c r="L22" s="158"/>
      <c r="M22" s="158">
        <f t="shared" si="3"/>
        <v>4092.54</v>
      </c>
      <c r="N22" s="158">
        <f t="shared" si="4"/>
        <v>6.4138933453288915</v>
      </c>
      <c r="O22" s="158">
        <v>4092.54</v>
      </c>
      <c r="P22" s="158">
        <v>2067.76</v>
      </c>
      <c r="Q22" s="158">
        <v>2024.78</v>
      </c>
      <c r="R22" s="158">
        <f t="shared" si="6"/>
        <v>0</v>
      </c>
      <c r="S22" s="158">
        <f t="shared" si="7"/>
        <v>4092.54</v>
      </c>
      <c r="T22" s="169"/>
    </row>
    <row r="23" spans="1:20" ht="63" customHeight="1">
      <c r="A23" s="156">
        <v>2010301</v>
      </c>
      <c r="B23" s="157" t="s">
        <v>87</v>
      </c>
      <c r="C23" s="158">
        <v>1755.32</v>
      </c>
      <c r="D23" s="158"/>
      <c r="E23" s="158">
        <f t="shared" si="1"/>
        <v>1755.32</v>
      </c>
      <c r="F23" s="158">
        <v>159.37</v>
      </c>
      <c r="G23" s="158">
        <v>0</v>
      </c>
      <c r="H23" s="158">
        <v>0</v>
      </c>
      <c r="I23" s="158">
        <v>92.89</v>
      </c>
      <c r="J23" s="158">
        <f t="shared" si="5"/>
        <v>0</v>
      </c>
      <c r="K23" s="158">
        <v>2007.58</v>
      </c>
      <c r="L23" s="158"/>
      <c r="M23" s="158">
        <f t="shared" si="3"/>
        <v>2007.58</v>
      </c>
      <c r="N23" s="158">
        <f t="shared" si="4"/>
        <v>14.371168789736345</v>
      </c>
      <c r="O23" s="158">
        <v>2007.58</v>
      </c>
      <c r="P23" s="158">
        <v>1106.79</v>
      </c>
      <c r="Q23" s="158">
        <v>900.79</v>
      </c>
      <c r="R23" s="158">
        <f t="shared" si="6"/>
        <v>0</v>
      </c>
      <c r="S23" s="158">
        <f t="shared" si="7"/>
        <v>2007.58</v>
      </c>
      <c r="T23" s="169" t="s">
        <v>103</v>
      </c>
    </row>
    <row r="24" spans="1:20" ht="63" customHeight="1">
      <c r="A24" s="156">
        <v>2010302</v>
      </c>
      <c r="B24" s="157" t="s">
        <v>89</v>
      </c>
      <c r="C24" s="158">
        <v>50</v>
      </c>
      <c r="D24" s="158"/>
      <c r="E24" s="158">
        <f t="shared" si="1"/>
        <v>50</v>
      </c>
      <c r="F24" s="158">
        <v>0</v>
      </c>
      <c r="G24" s="158">
        <v>0</v>
      </c>
      <c r="H24" s="158">
        <v>0</v>
      </c>
      <c r="I24" s="158">
        <v>-30.12</v>
      </c>
      <c r="J24" s="158">
        <f t="shared" si="5"/>
        <v>0</v>
      </c>
      <c r="K24" s="158">
        <v>19.88</v>
      </c>
      <c r="L24" s="158"/>
      <c r="M24" s="158">
        <f t="shared" si="3"/>
        <v>19.88</v>
      </c>
      <c r="N24" s="158">
        <f t="shared" si="4"/>
        <v>-60.24</v>
      </c>
      <c r="O24" s="158">
        <v>19.88</v>
      </c>
      <c r="P24" s="158">
        <v>0</v>
      </c>
      <c r="Q24" s="158">
        <v>19.88</v>
      </c>
      <c r="R24" s="158">
        <f t="shared" si="6"/>
        <v>0</v>
      </c>
      <c r="S24" s="158">
        <f t="shared" si="7"/>
        <v>19.88</v>
      </c>
      <c r="T24" s="169" t="s">
        <v>103</v>
      </c>
    </row>
    <row r="25" spans="1:20" ht="210.75" customHeight="1">
      <c r="A25" s="156">
        <v>2010399</v>
      </c>
      <c r="B25" s="157" t="s">
        <v>104</v>
      </c>
      <c r="C25" s="158">
        <v>2040.55</v>
      </c>
      <c r="D25" s="158"/>
      <c r="E25" s="158">
        <f t="shared" si="1"/>
        <v>2040.55</v>
      </c>
      <c r="F25" s="158">
        <v>32.53</v>
      </c>
      <c r="G25" s="158">
        <v>0</v>
      </c>
      <c r="H25" s="158">
        <v>0</v>
      </c>
      <c r="I25" s="158">
        <v>-8.000000000000014</v>
      </c>
      <c r="J25" s="158">
        <f t="shared" si="5"/>
        <v>0</v>
      </c>
      <c r="K25" s="158">
        <v>2065.08</v>
      </c>
      <c r="L25" s="158"/>
      <c r="M25" s="158">
        <f t="shared" si="3"/>
        <v>2065.08</v>
      </c>
      <c r="N25" s="158">
        <f t="shared" si="4"/>
        <v>1.202126877557519</v>
      </c>
      <c r="O25" s="158">
        <v>2065.08</v>
      </c>
      <c r="P25" s="158">
        <v>960.97</v>
      </c>
      <c r="Q25" s="158">
        <v>1104.11</v>
      </c>
      <c r="R25" s="158">
        <f t="shared" si="6"/>
        <v>0</v>
      </c>
      <c r="S25" s="158">
        <f t="shared" si="7"/>
        <v>2065.08</v>
      </c>
      <c r="T25" s="169" t="s">
        <v>105</v>
      </c>
    </row>
    <row r="26" spans="1:20" ht="28.5" customHeight="1">
      <c r="A26" s="156">
        <v>20104</v>
      </c>
      <c r="B26" s="157" t="s">
        <v>106</v>
      </c>
      <c r="C26" s="158">
        <v>278.25</v>
      </c>
      <c r="D26" s="158"/>
      <c r="E26" s="158">
        <f t="shared" si="1"/>
        <v>278.25</v>
      </c>
      <c r="F26" s="158">
        <v>18.22</v>
      </c>
      <c r="G26" s="158">
        <v>0</v>
      </c>
      <c r="H26" s="158">
        <v>0</v>
      </c>
      <c r="I26" s="158">
        <v>150.8</v>
      </c>
      <c r="J26" s="158">
        <f t="shared" si="5"/>
        <v>5</v>
      </c>
      <c r="K26" s="158">
        <v>447.27</v>
      </c>
      <c r="L26" s="158">
        <v>5</v>
      </c>
      <c r="M26" s="158">
        <f t="shared" si="3"/>
        <v>452.27</v>
      </c>
      <c r="N26" s="158">
        <f t="shared" si="4"/>
        <v>62.540880503144656</v>
      </c>
      <c r="O26" s="158">
        <v>447.27</v>
      </c>
      <c r="P26" s="158">
        <v>365.02</v>
      </c>
      <c r="Q26" s="158">
        <v>82.25</v>
      </c>
      <c r="R26" s="158">
        <f t="shared" si="6"/>
        <v>5</v>
      </c>
      <c r="S26" s="158">
        <f t="shared" si="7"/>
        <v>452.27</v>
      </c>
      <c r="T26" s="169"/>
    </row>
    <row r="27" spans="1:20" ht="57.75" customHeight="1">
      <c r="A27" s="156">
        <v>2010401</v>
      </c>
      <c r="B27" s="157" t="s">
        <v>87</v>
      </c>
      <c r="C27" s="158">
        <v>125.01</v>
      </c>
      <c r="D27" s="158"/>
      <c r="E27" s="158">
        <f t="shared" si="1"/>
        <v>125.01</v>
      </c>
      <c r="F27" s="158">
        <v>3.22</v>
      </c>
      <c r="G27" s="158">
        <v>0</v>
      </c>
      <c r="H27" s="158">
        <v>0</v>
      </c>
      <c r="I27" s="158">
        <v>29.18</v>
      </c>
      <c r="J27" s="158">
        <f t="shared" si="5"/>
        <v>0</v>
      </c>
      <c r="K27" s="158">
        <v>157.41</v>
      </c>
      <c r="L27" s="158"/>
      <c r="M27" s="158">
        <f t="shared" si="3"/>
        <v>157.41</v>
      </c>
      <c r="N27" s="158">
        <f t="shared" si="4"/>
        <v>25.917926565874726</v>
      </c>
      <c r="O27" s="158">
        <v>157.41</v>
      </c>
      <c r="P27" s="158">
        <v>99.08</v>
      </c>
      <c r="Q27" s="158">
        <v>58.33</v>
      </c>
      <c r="R27" s="158">
        <f t="shared" si="6"/>
        <v>0</v>
      </c>
      <c r="S27" s="158">
        <f t="shared" si="7"/>
        <v>157.41</v>
      </c>
      <c r="T27" s="169" t="s">
        <v>107</v>
      </c>
    </row>
    <row r="28" spans="1:20" ht="58.5" customHeight="1">
      <c r="A28" s="156">
        <v>2010402</v>
      </c>
      <c r="B28" s="157" t="s">
        <v>89</v>
      </c>
      <c r="C28" s="158">
        <v>3</v>
      </c>
      <c r="D28" s="158"/>
      <c r="E28" s="158">
        <f t="shared" si="1"/>
        <v>3</v>
      </c>
      <c r="F28" s="158">
        <v>15</v>
      </c>
      <c r="G28" s="158">
        <v>0</v>
      </c>
      <c r="H28" s="158">
        <v>0</v>
      </c>
      <c r="I28" s="158">
        <v>0</v>
      </c>
      <c r="J28" s="158">
        <f t="shared" si="5"/>
        <v>0</v>
      </c>
      <c r="K28" s="158">
        <v>18</v>
      </c>
      <c r="L28" s="158"/>
      <c r="M28" s="158">
        <f t="shared" si="3"/>
        <v>18</v>
      </c>
      <c r="N28" s="158">
        <f t="shared" si="4"/>
        <v>500</v>
      </c>
      <c r="O28" s="158">
        <v>18</v>
      </c>
      <c r="P28" s="158">
        <v>1</v>
      </c>
      <c r="Q28" s="158">
        <v>17</v>
      </c>
      <c r="R28" s="158">
        <f t="shared" si="6"/>
        <v>0</v>
      </c>
      <c r="S28" s="158">
        <f t="shared" si="7"/>
        <v>18</v>
      </c>
      <c r="T28" s="169" t="s">
        <v>108</v>
      </c>
    </row>
    <row r="29" spans="1:20" ht="28.5" customHeight="1">
      <c r="A29" s="156">
        <v>2010404</v>
      </c>
      <c r="B29" s="157" t="s">
        <v>109</v>
      </c>
      <c r="C29" s="158">
        <v>3</v>
      </c>
      <c r="D29" s="158"/>
      <c r="E29" s="158">
        <f t="shared" si="1"/>
        <v>3</v>
      </c>
      <c r="F29" s="158">
        <v>0</v>
      </c>
      <c r="G29" s="158">
        <v>0</v>
      </c>
      <c r="H29" s="158">
        <v>0</v>
      </c>
      <c r="I29" s="158">
        <v>0</v>
      </c>
      <c r="J29" s="158">
        <f t="shared" si="5"/>
        <v>0</v>
      </c>
      <c r="K29" s="158">
        <v>3</v>
      </c>
      <c r="L29" s="158"/>
      <c r="M29" s="158">
        <f t="shared" si="3"/>
        <v>3</v>
      </c>
      <c r="N29" s="158">
        <f t="shared" si="4"/>
        <v>0</v>
      </c>
      <c r="O29" s="158">
        <v>3</v>
      </c>
      <c r="P29" s="158">
        <v>3</v>
      </c>
      <c r="Q29" s="158">
        <v>0</v>
      </c>
      <c r="R29" s="158">
        <f t="shared" si="6"/>
        <v>0</v>
      </c>
      <c r="S29" s="158">
        <f t="shared" si="7"/>
        <v>3</v>
      </c>
      <c r="T29" s="169"/>
    </row>
    <row r="30" spans="1:20" ht="54" customHeight="1">
      <c r="A30" s="156">
        <v>2010499</v>
      </c>
      <c r="B30" s="157" t="s">
        <v>110</v>
      </c>
      <c r="C30" s="158">
        <v>147.24</v>
      </c>
      <c r="D30" s="158"/>
      <c r="E30" s="158">
        <f t="shared" si="1"/>
        <v>147.24</v>
      </c>
      <c r="F30" s="158">
        <v>0</v>
      </c>
      <c r="G30" s="158">
        <v>0</v>
      </c>
      <c r="H30" s="158">
        <v>0</v>
      </c>
      <c r="I30" s="158">
        <v>121.62</v>
      </c>
      <c r="J30" s="158">
        <f t="shared" si="5"/>
        <v>5</v>
      </c>
      <c r="K30" s="158">
        <v>268.86</v>
      </c>
      <c r="L30" s="158">
        <v>5</v>
      </c>
      <c r="M30" s="158">
        <f t="shared" si="3"/>
        <v>273.86</v>
      </c>
      <c r="N30" s="158">
        <f t="shared" si="4"/>
        <v>85.99565335506657</v>
      </c>
      <c r="O30" s="158">
        <v>268.86</v>
      </c>
      <c r="P30" s="158">
        <v>261.94</v>
      </c>
      <c r="Q30" s="158">
        <v>6.92</v>
      </c>
      <c r="R30" s="158">
        <f t="shared" si="6"/>
        <v>5</v>
      </c>
      <c r="S30" s="158">
        <f t="shared" si="7"/>
        <v>273.86</v>
      </c>
      <c r="T30" s="169" t="s">
        <v>111</v>
      </c>
    </row>
    <row r="31" spans="1:20" ht="28.5" customHeight="1">
      <c r="A31" s="156">
        <v>20105</v>
      </c>
      <c r="B31" s="157" t="s">
        <v>112</v>
      </c>
      <c r="C31" s="158">
        <v>207.4</v>
      </c>
      <c r="D31" s="158"/>
      <c r="E31" s="158">
        <f t="shared" si="1"/>
        <v>207.4</v>
      </c>
      <c r="F31" s="158">
        <v>0</v>
      </c>
      <c r="G31" s="158">
        <v>0</v>
      </c>
      <c r="H31" s="158">
        <v>0</v>
      </c>
      <c r="I31" s="158">
        <v>38.46</v>
      </c>
      <c r="J31" s="158">
        <f t="shared" si="5"/>
        <v>0</v>
      </c>
      <c r="K31" s="158">
        <v>245.86</v>
      </c>
      <c r="L31" s="158"/>
      <c r="M31" s="158">
        <f t="shared" si="3"/>
        <v>245.86</v>
      </c>
      <c r="N31" s="158">
        <f t="shared" si="4"/>
        <v>18.543876567020256</v>
      </c>
      <c r="O31" s="158">
        <v>245.86</v>
      </c>
      <c r="P31" s="158">
        <v>149.98</v>
      </c>
      <c r="Q31" s="158">
        <v>95.88</v>
      </c>
      <c r="R31" s="158">
        <f t="shared" si="6"/>
        <v>0</v>
      </c>
      <c r="S31" s="158">
        <f t="shared" si="7"/>
        <v>245.86</v>
      </c>
      <c r="T31" s="169"/>
    </row>
    <row r="32" spans="1:20" ht="51.75" customHeight="1">
      <c r="A32" s="156">
        <v>2010501</v>
      </c>
      <c r="B32" s="157" t="s">
        <v>87</v>
      </c>
      <c r="C32" s="158">
        <v>132.4</v>
      </c>
      <c r="D32" s="158"/>
      <c r="E32" s="158">
        <f t="shared" si="1"/>
        <v>132.4</v>
      </c>
      <c r="F32" s="158">
        <v>0</v>
      </c>
      <c r="G32" s="158">
        <v>0</v>
      </c>
      <c r="H32" s="158">
        <v>0</v>
      </c>
      <c r="I32" s="158">
        <v>38.46</v>
      </c>
      <c r="J32" s="158">
        <f t="shared" si="5"/>
        <v>0</v>
      </c>
      <c r="K32" s="158">
        <v>170.86</v>
      </c>
      <c r="L32" s="158"/>
      <c r="M32" s="158">
        <f t="shared" si="3"/>
        <v>170.86</v>
      </c>
      <c r="N32" s="158">
        <f t="shared" si="4"/>
        <v>29.048338368580072</v>
      </c>
      <c r="O32" s="158">
        <v>170.86</v>
      </c>
      <c r="P32" s="158">
        <v>116.56</v>
      </c>
      <c r="Q32" s="158">
        <v>54.3</v>
      </c>
      <c r="R32" s="158">
        <f t="shared" si="6"/>
        <v>0</v>
      </c>
      <c r="S32" s="158">
        <f t="shared" si="7"/>
        <v>170.86</v>
      </c>
      <c r="T32" s="169" t="s">
        <v>88</v>
      </c>
    </row>
    <row r="33" spans="1:20" ht="28.5" customHeight="1">
      <c r="A33" s="156">
        <v>2010502</v>
      </c>
      <c r="B33" s="157" t="s">
        <v>89</v>
      </c>
      <c r="C33" s="158">
        <v>10</v>
      </c>
      <c r="D33" s="158"/>
      <c r="E33" s="158">
        <f t="shared" si="1"/>
        <v>10</v>
      </c>
      <c r="F33" s="158">
        <v>0</v>
      </c>
      <c r="G33" s="158">
        <v>0</v>
      </c>
      <c r="H33" s="158">
        <v>0</v>
      </c>
      <c r="I33" s="158">
        <v>0</v>
      </c>
      <c r="J33" s="158">
        <f t="shared" si="5"/>
        <v>0</v>
      </c>
      <c r="K33" s="158">
        <v>10</v>
      </c>
      <c r="L33" s="158"/>
      <c r="M33" s="158">
        <f t="shared" si="3"/>
        <v>10</v>
      </c>
      <c r="N33" s="158">
        <f t="shared" si="4"/>
        <v>0</v>
      </c>
      <c r="O33" s="158">
        <v>10</v>
      </c>
      <c r="P33" s="158">
        <v>8.87</v>
      </c>
      <c r="Q33" s="158">
        <v>1.13</v>
      </c>
      <c r="R33" s="158">
        <f t="shared" si="6"/>
        <v>0</v>
      </c>
      <c r="S33" s="158">
        <f t="shared" si="7"/>
        <v>10</v>
      </c>
      <c r="T33" s="169"/>
    </row>
    <row r="34" spans="1:20" ht="28.5" customHeight="1">
      <c r="A34" s="156">
        <v>2010507</v>
      </c>
      <c r="B34" s="157" t="s">
        <v>113</v>
      </c>
      <c r="C34" s="158">
        <v>50</v>
      </c>
      <c r="D34" s="158"/>
      <c r="E34" s="158">
        <f t="shared" si="1"/>
        <v>50</v>
      </c>
      <c r="F34" s="158">
        <v>0</v>
      </c>
      <c r="G34" s="158">
        <v>0</v>
      </c>
      <c r="H34" s="158">
        <v>0</v>
      </c>
      <c r="I34" s="158">
        <v>0</v>
      </c>
      <c r="J34" s="158">
        <f t="shared" si="5"/>
        <v>0</v>
      </c>
      <c r="K34" s="158">
        <v>50</v>
      </c>
      <c r="L34" s="158"/>
      <c r="M34" s="158">
        <f t="shared" si="3"/>
        <v>50</v>
      </c>
      <c r="N34" s="158">
        <f t="shared" si="4"/>
        <v>0</v>
      </c>
      <c r="O34" s="158">
        <v>50</v>
      </c>
      <c r="P34" s="158">
        <v>22</v>
      </c>
      <c r="Q34" s="158">
        <v>28</v>
      </c>
      <c r="R34" s="158">
        <f t="shared" si="6"/>
        <v>0</v>
      </c>
      <c r="S34" s="158">
        <f t="shared" si="7"/>
        <v>50</v>
      </c>
      <c r="T34" s="169"/>
    </row>
    <row r="35" spans="1:20" ht="28.5" customHeight="1">
      <c r="A35" s="156">
        <v>2010508</v>
      </c>
      <c r="B35" s="157" t="s">
        <v>114</v>
      </c>
      <c r="C35" s="158">
        <v>15</v>
      </c>
      <c r="D35" s="158"/>
      <c r="E35" s="158">
        <f t="shared" si="1"/>
        <v>15</v>
      </c>
      <c r="F35" s="158">
        <v>0</v>
      </c>
      <c r="G35" s="158">
        <v>0</v>
      </c>
      <c r="H35" s="158">
        <v>0</v>
      </c>
      <c r="I35" s="158">
        <v>0</v>
      </c>
      <c r="J35" s="158">
        <f t="shared" si="5"/>
        <v>0</v>
      </c>
      <c r="K35" s="158">
        <v>15</v>
      </c>
      <c r="L35" s="158"/>
      <c r="M35" s="158">
        <f t="shared" si="3"/>
        <v>15</v>
      </c>
      <c r="N35" s="158">
        <f t="shared" si="4"/>
        <v>0</v>
      </c>
      <c r="O35" s="158">
        <v>15</v>
      </c>
      <c r="P35" s="158">
        <v>2.55</v>
      </c>
      <c r="Q35" s="158">
        <v>12.45</v>
      </c>
      <c r="R35" s="158">
        <f t="shared" si="6"/>
        <v>0</v>
      </c>
      <c r="S35" s="158">
        <f t="shared" si="7"/>
        <v>15</v>
      </c>
      <c r="T35" s="169"/>
    </row>
    <row r="36" spans="1:20" ht="28.5" customHeight="1">
      <c r="A36" s="156">
        <v>20106</v>
      </c>
      <c r="B36" s="157" t="s">
        <v>115</v>
      </c>
      <c r="C36" s="158">
        <v>752.84</v>
      </c>
      <c r="D36" s="158"/>
      <c r="E36" s="158">
        <f t="shared" si="1"/>
        <v>752.84</v>
      </c>
      <c r="F36" s="158">
        <v>56.42</v>
      </c>
      <c r="G36" s="158">
        <v>0</v>
      </c>
      <c r="H36" s="158">
        <v>0</v>
      </c>
      <c r="I36" s="158">
        <v>24.72</v>
      </c>
      <c r="J36" s="158">
        <f t="shared" si="5"/>
        <v>0</v>
      </c>
      <c r="K36" s="158">
        <v>833.98</v>
      </c>
      <c r="L36" s="158"/>
      <c r="M36" s="158">
        <f t="shared" si="3"/>
        <v>833.98</v>
      </c>
      <c r="N36" s="158">
        <f t="shared" si="4"/>
        <v>10.777854524201679</v>
      </c>
      <c r="O36" s="158">
        <v>833.98</v>
      </c>
      <c r="P36" s="158">
        <v>367.33</v>
      </c>
      <c r="Q36" s="158">
        <v>466.65</v>
      </c>
      <c r="R36" s="158">
        <f t="shared" si="6"/>
        <v>0</v>
      </c>
      <c r="S36" s="158">
        <f t="shared" si="7"/>
        <v>833.98</v>
      </c>
      <c r="T36" s="169"/>
    </row>
    <row r="37" spans="1:20" ht="69" customHeight="1">
      <c r="A37" s="156">
        <v>2010601</v>
      </c>
      <c r="B37" s="157" t="s">
        <v>87</v>
      </c>
      <c r="C37" s="158">
        <v>427.42</v>
      </c>
      <c r="D37" s="158"/>
      <c r="E37" s="158">
        <f t="shared" si="1"/>
        <v>427.42</v>
      </c>
      <c r="F37" s="158">
        <v>21.92</v>
      </c>
      <c r="G37" s="158">
        <v>0</v>
      </c>
      <c r="H37" s="158">
        <v>0</v>
      </c>
      <c r="I37" s="158">
        <v>24.72</v>
      </c>
      <c r="J37" s="158">
        <f t="shared" si="5"/>
        <v>0</v>
      </c>
      <c r="K37" s="158">
        <v>474.06</v>
      </c>
      <c r="L37" s="158"/>
      <c r="M37" s="158">
        <f t="shared" si="3"/>
        <v>474.06</v>
      </c>
      <c r="N37" s="158">
        <f t="shared" si="4"/>
        <v>10.911983529081471</v>
      </c>
      <c r="O37" s="158">
        <v>474.06</v>
      </c>
      <c r="P37" s="158">
        <v>229.09</v>
      </c>
      <c r="Q37" s="158">
        <v>244.97</v>
      </c>
      <c r="R37" s="158">
        <f t="shared" si="6"/>
        <v>0</v>
      </c>
      <c r="S37" s="158">
        <f t="shared" si="7"/>
        <v>474.06</v>
      </c>
      <c r="T37" s="169" t="s">
        <v>103</v>
      </c>
    </row>
    <row r="38" spans="1:20" ht="28.5" customHeight="1">
      <c r="A38" s="156">
        <v>2010604</v>
      </c>
      <c r="B38" s="157" t="s">
        <v>116</v>
      </c>
      <c r="C38" s="158">
        <v>10</v>
      </c>
      <c r="D38" s="158"/>
      <c r="E38" s="158">
        <f t="shared" si="1"/>
        <v>10</v>
      </c>
      <c r="F38" s="158">
        <v>0</v>
      </c>
      <c r="G38" s="158">
        <v>0</v>
      </c>
      <c r="H38" s="158">
        <v>0</v>
      </c>
      <c r="I38" s="158">
        <v>0</v>
      </c>
      <c r="J38" s="158">
        <f t="shared" si="5"/>
        <v>0</v>
      </c>
      <c r="K38" s="158">
        <v>10</v>
      </c>
      <c r="L38" s="158"/>
      <c r="M38" s="158">
        <f t="shared" si="3"/>
        <v>10</v>
      </c>
      <c r="N38" s="158">
        <f t="shared" si="4"/>
        <v>0</v>
      </c>
      <c r="O38" s="158">
        <v>10</v>
      </c>
      <c r="P38" s="158">
        <v>0</v>
      </c>
      <c r="Q38" s="158">
        <v>10</v>
      </c>
      <c r="R38" s="158">
        <f t="shared" si="6"/>
        <v>0</v>
      </c>
      <c r="S38" s="158">
        <f t="shared" si="7"/>
        <v>10</v>
      </c>
      <c r="T38" s="169"/>
    </row>
    <row r="39" spans="1:20" ht="28.5" customHeight="1">
      <c r="A39" s="156">
        <v>2010605</v>
      </c>
      <c r="B39" s="157" t="s">
        <v>117</v>
      </c>
      <c r="C39" s="158">
        <v>11</v>
      </c>
      <c r="D39" s="158"/>
      <c r="E39" s="158">
        <f t="shared" si="1"/>
        <v>11</v>
      </c>
      <c r="F39" s="158">
        <v>0</v>
      </c>
      <c r="G39" s="158">
        <v>0</v>
      </c>
      <c r="H39" s="158">
        <v>0</v>
      </c>
      <c r="I39" s="158">
        <v>0</v>
      </c>
      <c r="J39" s="158">
        <f t="shared" si="5"/>
        <v>0</v>
      </c>
      <c r="K39" s="158">
        <v>11</v>
      </c>
      <c r="L39" s="158"/>
      <c r="M39" s="158">
        <f t="shared" si="3"/>
        <v>11</v>
      </c>
      <c r="N39" s="158">
        <f t="shared" si="4"/>
        <v>0</v>
      </c>
      <c r="O39" s="158">
        <v>11</v>
      </c>
      <c r="P39" s="158">
        <v>0</v>
      </c>
      <c r="Q39" s="158">
        <v>11</v>
      </c>
      <c r="R39" s="158">
        <f t="shared" si="6"/>
        <v>0</v>
      </c>
      <c r="S39" s="158">
        <f t="shared" si="7"/>
        <v>11</v>
      </c>
      <c r="T39" s="169"/>
    </row>
    <row r="40" spans="1:20" ht="40.5" customHeight="1">
      <c r="A40" s="156">
        <v>2010607</v>
      </c>
      <c r="B40" s="157" t="s">
        <v>118</v>
      </c>
      <c r="C40" s="158">
        <v>40</v>
      </c>
      <c r="D40" s="158"/>
      <c r="E40" s="158">
        <f t="shared" si="1"/>
        <v>40</v>
      </c>
      <c r="F40" s="158">
        <v>10</v>
      </c>
      <c r="G40" s="158">
        <v>0</v>
      </c>
      <c r="H40" s="158">
        <v>0</v>
      </c>
      <c r="I40" s="158">
        <v>0</v>
      </c>
      <c r="J40" s="158">
        <f t="shared" si="5"/>
        <v>0</v>
      </c>
      <c r="K40" s="158">
        <v>50</v>
      </c>
      <c r="L40" s="158"/>
      <c r="M40" s="158">
        <f t="shared" si="3"/>
        <v>50</v>
      </c>
      <c r="N40" s="158">
        <f t="shared" si="4"/>
        <v>25</v>
      </c>
      <c r="O40" s="158">
        <v>50</v>
      </c>
      <c r="P40" s="158">
        <v>40</v>
      </c>
      <c r="Q40" s="158">
        <v>10</v>
      </c>
      <c r="R40" s="158">
        <f t="shared" si="6"/>
        <v>0</v>
      </c>
      <c r="S40" s="158">
        <f t="shared" si="7"/>
        <v>50</v>
      </c>
      <c r="T40" s="169" t="s">
        <v>119</v>
      </c>
    </row>
    <row r="41" spans="1:20" ht="61.5" customHeight="1">
      <c r="A41" s="156">
        <v>2010699</v>
      </c>
      <c r="B41" s="157" t="s">
        <v>120</v>
      </c>
      <c r="C41" s="158">
        <v>264.42</v>
      </c>
      <c r="D41" s="158"/>
      <c r="E41" s="158">
        <f t="shared" si="1"/>
        <v>264.42</v>
      </c>
      <c r="F41" s="158">
        <v>24.5</v>
      </c>
      <c r="G41" s="158">
        <v>0</v>
      </c>
      <c r="H41" s="158">
        <v>0</v>
      </c>
      <c r="I41" s="158">
        <v>0</v>
      </c>
      <c r="J41" s="158">
        <f t="shared" si="5"/>
        <v>0</v>
      </c>
      <c r="K41" s="158">
        <v>288.92</v>
      </c>
      <c r="L41" s="158"/>
      <c r="M41" s="158">
        <f t="shared" si="3"/>
        <v>288.92</v>
      </c>
      <c r="N41" s="158">
        <f t="shared" si="4"/>
        <v>9.265562362907499</v>
      </c>
      <c r="O41" s="158">
        <v>288.92</v>
      </c>
      <c r="P41" s="158">
        <v>98.24</v>
      </c>
      <c r="Q41" s="158">
        <v>190.68</v>
      </c>
      <c r="R41" s="158">
        <f t="shared" si="6"/>
        <v>0</v>
      </c>
      <c r="S41" s="158">
        <f t="shared" si="7"/>
        <v>288.92</v>
      </c>
      <c r="T41" s="169" t="s">
        <v>121</v>
      </c>
    </row>
    <row r="42" spans="1:20" ht="28.5" customHeight="1">
      <c r="A42" s="156">
        <v>20107</v>
      </c>
      <c r="B42" s="157" t="s">
        <v>122</v>
      </c>
      <c r="C42" s="158">
        <v>2000</v>
      </c>
      <c r="D42" s="158">
        <f>D43</f>
        <v>36</v>
      </c>
      <c r="E42" s="158">
        <f t="shared" si="1"/>
        <v>2036</v>
      </c>
      <c r="F42" s="158">
        <v>596</v>
      </c>
      <c r="G42" s="158">
        <v>0</v>
      </c>
      <c r="H42" s="158">
        <v>0</v>
      </c>
      <c r="I42" s="158">
        <v>-0.010000000000001563</v>
      </c>
      <c r="J42" s="158">
        <f t="shared" si="5"/>
        <v>0</v>
      </c>
      <c r="K42" s="158">
        <v>2595.99</v>
      </c>
      <c r="L42" s="158">
        <v>36</v>
      </c>
      <c r="M42" s="158">
        <f t="shared" si="3"/>
        <v>2631.99</v>
      </c>
      <c r="N42" s="158">
        <f t="shared" si="4"/>
        <v>29.27259332023575</v>
      </c>
      <c r="O42" s="158">
        <v>2595.99</v>
      </c>
      <c r="P42" s="158">
        <v>1428.5</v>
      </c>
      <c r="Q42" s="158">
        <v>1167.49</v>
      </c>
      <c r="R42" s="158">
        <f t="shared" si="6"/>
        <v>36</v>
      </c>
      <c r="S42" s="158">
        <f t="shared" si="7"/>
        <v>2631.99</v>
      </c>
      <c r="T42" s="169"/>
    </row>
    <row r="43" spans="1:20" ht="28.5" customHeight="1">
      <c r="A43" s="156">
        <v>2010799</v>
      </c>
      <c r="B43" s="157" t="s">
        <v>123</v>
      </c>
      <c r="C43" s="158">
        <v>2000</v>
      </c>
      <c r="D43" s="158">
        <v>36</v>
      </c>
      <c r="E43" s="158">
        <f t="shared" si="1"/>
        <v>2036</v>
      </c>
      <c r="F43" s="158">
        <v>596</v>
      </c>
      <c r="G43" s="158">
        <v>0</v>
      </c>
      <c r="H43" s="158">
        <v>0</v>
      </c>
      <c r="I43" s="158">
        <v>-0.010000000000001563</v>
      </c>
      <c r="J43" s="158">
        <f t="shared" si="5"/>
        <v>0</v>
      </c>
      <c r="K43" s="158">
        <v>2595.99</v>
      </c>
      <c r="L43" s="158">
        <v>36</v>
      </c>
      <c r="M43" s="158">
        <f t="shared" si="3"/>
        <v>2631.99</v>
      </c>
      <c r="N43" s="158">
        <f t="shared" si="4"/>
        <v>29.27259332023575</v>
      </c>
      <c r="O43" s="158">
        <v>2595.99</v>
      </c>
      <c r="P43" s="158">
        <v>1428.5</v>
      </c>
      <c r="Q43" s="158">
        <v>1167.49</v>
      </c>
      <c r="R43" s="158">
        <f t="shared" si="6"/>
        <v>36</v>
      </c>
      <c r="S43" s="158">
        <f t="shared" si="7"/>
        <v>2631.99</v>
      </c>
      <c r="T43" s="169" t="s">
        <v>124</v>
      </c>
    </row>
    <row r="44" spans="1:20" ht="28.5" customHeight="1">
      <c r="A44" s="156">
        <v>20108</v>
      </c>
      <c r="B44" s="157" t="s">
        <v>125</v>
      </c>
      <c r="C44" s="158">
        <v>177.54</v>
      </c>
      <c r="D44" s="158"/>
      <c r="E44" s="158">
        <f t="shared" si="1"/>
        <v>177.54</v>
      </c>
      <c r="F44" s="158">
        <v>8.65</v>
      </c>
      <c r="G44" s="158">
        <v>0</v>
      </c>
      <c r="H44" s="158">
        <v>0</v>
      </c>
      <c r="I44" s="158">
        <v>33.06</v>
      </c>
      <c r="J44" s="158">
        <f t="shared" si="5"/>
        <v>0</v>
      </c>
      <c r="K44" s="158">
        <v>219.25</v>
      </c>
      <c r="L44" s="158"/>
      <c r="M44" s="158">
        <f t="shared" si="3"/>
        <v>219.25</v>
      </c>
      <c r="N44" s="158">
        <f t="shared" si="4"/>
        <v>23.493297285118842</v>
      </c>
      <c r="O44" s="158">
        <v>219.25</v>
      </c>
      <c r="P44" s="158">
        <v>141.63</v>
      </c>
      <c r="Q44" s="158">
        <v>77.62</v>
      </c>
      <c r="R44" s="158">
        <f t="shared" si="6"/>
        <v>0</v>
      </c>
      <c r="S44" s="158">
        <f t="shared" si="7"/>
        <v>219.25</v>
      </c>
      <c r="T44" s="169"/>
    </row>
    <row r="45" spans="1:20" ht="63.75" customHeight="1">
      <c r="A45" s="156">
        <v>2010801</v>
      </c>
      <c r="B45" s="157" t="s">
        <v>87</v>
      </c>
      <c r="C45" s="158">
        <v>108.66</v>
      </c>
      <c r="D45" s="158"/>
      <c r="E45" s="158">
        <f t="shared" si="1"/>
        <v>108.66</v>
      </c>
      <c r="F45" s="158">
        <v>9</v>
      </c>
      <c r="G45" s="158">
        <v>0</v>
      </c>
      <c r="H45" s="158">
        <v>0</v>
      </c>
      <c r="I45" s="158">
        <v>31.26</v>
      </c>
      <c r="J45" s="158">
        <f t="shared" si="5"/>
        <v>0</v>
      </c>
      <c r="K45" s="158">
        <v>148.92</v>
      </c>
      <c r="L45" s="158"/>
      <c r="M45" s="158">
        <f t="shared" si="3"/>
        <v>148.92</v>
      </c>
      <c r="N45" s="158">
        <f t="shared" si="4"/>
        <v>37.05135284373273</v>
      </c>
      <c r="O45" s="158">
        <v>148.92</v>
      </c>
      <c r="P45" s="158">
        <v>99.55</v>
      </c>
      <c r="Q45" s="158">
        <v>49.37</v>
      </c>
      <c r="R45" s="158">
        <f t="shared" si="6"/>
        <v>0</v>
      </c>
      <c r="S45" s="158">
        <f t="shared" si="7"/>
        <v>148.92</v>
      </c>
      <c r="T45" s="169" t="s">
        <v>126</v>
      </c>
    </row>
    <row r="46" spans="1:20" ht="28.5" customHeight="1">
      <c r="A46" s="156">
        <v>2010804</v>
      </c>
      <c r="B46" s="157" t="s">
        <v>127</v>
      </c>
      <c r="C46" s="158">
        <v>36</v>
      </c>
      <c r="D46" s="158"/>
      <c r="E46" s="158">
        <f t="shared" si="1"/>
        <v>36</v>
      </c>
      <c r="F46" s="158">
        <v>0</v>
      </c>
      <c r="G46" s="158">
        <v>0</v>
      </c>
      <c r="H46" s="158">
        <v>0</v>
      </c>
      <c r="I46" s="158">
        <v>0</v>
      </c>
      <c r="J46" s="158">
        <f t="shared" si="5"/>
        <v>0</v>
      </c>
      <c r="K46" s="158">
        <v>36</v>
      </c>
      <c r="L46" s="158"/>
      <c r="M46" s="158">
        <f t="shared" si="3"/>
        <v>36</v>
      </c>
      <c r="N46" s="158">
        <f t="shared" si="4"/>
        <v>0</v>
      </c>
      <c r="O46" s="158">
        <v>36</v>
      </c>
      <c r="P46" s="158">
        <v>25</v>
      </c>
      <c r="Q46" s="158">
        <v>11</v>
      </c>
      <c r="R46" s="158">
        <f t="shared" si="6"/>
        <v>0</v>
      </c>
      <c r="S46" s="158">
        <f t="shared" si="7"/>
        <v>36</v>
      </c>
      <c r="T46" s="169"/>
    </row>
    <row r="47" spans="1:20" ht="28.5" customHeight="1">
      <c r="A47" s="156">
        <v>2010806</v>
      </c>
      <c r="B47" s="157" t="s">
        <v>118</v>
      </c>
      <c r="C47" s="158">
        <v>1</v>
      </c>
      <c r="D47" s="158"/>
      <c r="E47" s="158">
        <f t="shared" si="1"/>
        <v>1</v>
      </c>
      <c r="F47" s="158">
        <v>0</v>
      </c>
      <c r="G47" s="158">
        <v>0</v>
      </c>
      <c r="H47" s="158">
        <v>0</v>
      </c>
      <c r="I47" s="158">
        <v>0</v>
      </c>
      <c r="J47" s="158">
        <f t="shared" si="5"/>
        <v>0</v>
      </c>
      <c r="K47" s="158">
        <v>1</v>
      </c>
      <c r="L47" s="158"/>
      <c r="M47" s="158">
        <f t="shared" si="3"/>
        <v>1</v>
      </c>
      <c r="N47" s="158">
        <f t="shared" si="4"/>
        <v>0</v>
      </c>
      <c r="O47" s="158">
        <v>1</v>
      </c>
      <c r="P47" s="158">
        <v>1</v>
      </c>
      <c r="Q47" s="158">
        <v>0</v>
      </c>
      <c r="R47" s="158">
        <f t="shared" si="6"/>
        <v>0</v>
      </c>
      <c r="S47" s="158">
        <f t="shared" si="7"/>
        <v>1</v>
      </c>
      <c r="T47" s="169"/>
    </row>
    <row r="48" spans="1:20" ht="51.75" customHeight="1">
      <c r="A48" s="156">
        <v>2010850</v>
      </c>
      <c r="B48" s="157" t="s">
        <v>128</v>
      </c>
      <c r="C48" s="158">
        <v>17.88</v>
      </c>
      <c r="D48" s="158"/>
      <c r="E48" s="158">
        <f t="shared" si="1"/>
        <v>17.88</v>
      </c>
      <c r="F48" s="158">
        <v>-0.35</v>
      </c>
      <c r="G48" s="158">
        <v>0</v>
      </c>
      <c r="H48" s="158">
        <v>0</v>
      </c>
      <c r="I48" s="158">
        <v>1.8</v>
      </c>
      <c r="J48" s="158">
        <f t="shared" si="5"/>
        <v>0</v>
      </c>
      <c r="K48" s="158">
        <v>19.33</v>
      </c>
      <c r="L48" s="158"/>
      <c r="M48" s="158">
        <f t="shared" si="3"/>
        <v>19.33</v>
      </c>
      <c r="N48" s="158">
        <f t="shared" si="4"/>
        <v>8.109619686800883</v>
      </c>
      <c r="O48" s="158">
        <v>19.33</v>
      </c>
      <c r="P48" s="158">
        <v>11.08</v>
      </c>
      <c r="Q48" s="158">
        <v>8.25</v>
      </c>
      <c r="R48" s="158">
        <f t="shared" si="6"/>
        <v>0</v>
      </c>
      <c r="S48" s="158">
        <f t="shared" si="7"/>
        <v>19.33</v>
      </c>
      <c r="T48" s="169" t="s">
        <v>88</v>
      </c>
    </row>
    <row r="49" spans="1:20" ht="28.5" customHeight="1">
      <c r="A49" s="156">
        <v>2010899</v>
      </c>
      <c r="B49" s="157" t="s">
        <v>129</v>
      </c>
      <c r="C49" s="158">
        <v>14</v>
      </c>
      <c r="D49" s="158"/>
      <c r="E49" s="158">
        <f t="shared" si="1"/>
        <v>14</v>
      </c>
      <c r="F49" s="158">
        <v>0</v>
      </c>
      <c r="G49" s="158">
        <v>0</v>
      </c>
      <c r="H49" s="158">
        <v>0</v>
      </c>
      <c r="I49" s="158">
        <v>0</v>
      </c>
      <c r="J49" s="158">
        <f t="shared" si="5"/>
        <v>0</v>
      </c>
      <c r="K49" s="158">
        <v>14</v>
      </c>
      <c r="L49" s="158"/>
      <c r="M49" s="158">
        <f t="shared" si="3"/>
        <v>14</v>
      </c>
      <c r="N49" s="158">
        <f t="shared" si="4"/>
        <v>0</v>
      </c>
      <c r="O49" s="158">
        <v>14</v>
      </c>
      <c r="P49" s="158">
        <v>5</v>
      </c>
      <c r="Q49" s="158">
        <v>9</v>
      </c>
      <c r="R49" s="158">
        <f t="shared" si="6"/>
        <v>0</v>
      </c>
      <c r="S49" s="158">
        <f t="shared" si="7"/>
        <v>14</v>
      </c>
      <c r="T49" s="169"/>
    </row>
    <row r="50" spans="1:20" ht="28.5" customHeight="1">
      <c r="A50" s="156">
        <v>20110</v>
      </c>
      <c r="B50" s="157" t="s">
        <v>130</v>
      </c>
      <c r="C50" s="158">
        <v>50.65</v>
      </c>
      <c r="D50" s="158"/>
      <c r="E50" s="158">
        <f t="shared" si="1"/>
        <v>50.65</v>
      </c>
      <c r="F50" s="158">
        <v>4.8</v>
      </c>
      <c r="G50" s="158">
        <v>0</v>
      </c>
      <c r="H50" s="158">
        <v>0</v>
      </c>
      <c r="I50" s="158">
        <v>5.74</v>
      </c>
      <c r="J50" s="158">
        <f t="shared" si="5"/>
        <v>1.6</v>
      </c>
      <c r="K50" s="158">
        <v>61.19</v>
      </c>
      <c r="L50" s="158">
        <v>1.6</v>
      </c>
      <c r="M50" s="158">
        <f t="shared" si="3"/>
        <v>62.79</v>
      </c>
      <c r="N50" s="158">
        <f t="shared" si="4"/>
        <v>23.968410661401784</v>
      </c>
      <c r="O50" s="158">
        <v>61.19</v>
      </c>
      <c r="P50" s="158">
        <v>31.23</v>
      </c>
      <c r="Q50" s="158">
        <v>29.96</v>
      </c>
      <c r="R50" s="158">
        <f t="shared" si="6"/>
        <v>1.6</v>
      </c>
      <c r="S50" s="158">
        <f t="shared" si="7"/>
        <v>62.79</v>
      </c>
      <c r="T50" s="169"/>
    </row>
    <row r="51" spans="1:20" ht="111.75" customHeight="1">
      <c r="A51" s="156">
        <v>2011006</v>
      </c>
      <c r="B51" s="157" t="s">
        <v>131</v>
      </c>
      <c r="C51" s="158">
        <v>43.5</v>
      </c>
      <c r="D51" s="158"/>
      <c r="E51" s="158">
        <f t="shared" si="1"/>
        <v>43.5</v>
      </c>
      <c r="F51" s="158">
        <v>4.8</v>
      </c>
      <c r="G51" s="158">
        <v>0</v>
      </c>
      <c r="H51" s="158">
        <v>0</v>
      </c>
      <c r="I51" s="158">
        <v>5.02</v>
      </c>
      <c r="J51" s="158">
        <f t="shared" si="5"/>
        <v>1.6</v>
      </c>
      <c r="K51" s="158">
        <v>53.32</v>
      </c>
      <c r="L51" s="158">
        <v>1.6</v>
      </c>
      <c r="M51" s="158">
        <f t="shared" si="3"/>
        <v>54.92</v>
      </c>
      <c r="N51" s="158">
        <f t="shared" si="4"/>
        <v>26.252873563218394</v>
      </c>
      <c r="O51" s="158">
        <v>53.32</v>
      </c>
      <c r="P51" s="158">
        <v>26.83</v>
      </c>
      <c r="Q51" s="158">
        <v>26.49</v>
      </c>
      <c r="R51" s="158">
        <f t="shared" si="6"/>
        <v>1.6</v>
      </c>
      <c r="S51" s="158">
        <f t="shared" si="7"/>
        <v>54.92</v>
      </c>
      <c r="T51" s="169" t="s">
        <v>132</v>
      </c>
    </row>
    <row r="52" spans="1:20" ht="54" customHeight="1">
      <c r="A52" s="156">
        <v>2011050</v>
      </c>
      <c r="B52" s="157" t="s">
        <v>128</v>
      </c>
      <c r="C52" s="158">
        <v>7.15</v>
      </c>
      <c r="D52" s="158"/>
      <c r="E52" s="158">
        <f t="shared" si="1"/>
        <v>7.15</v>
      </c>
      <c r="F52" s="158">
        <v>0</v>
      </c>
      <c r="G52" s="158">
        <v>0</v>
      </c>
      <c r="H52" s="158">
        <v>0</v>
      </c>
      <c r="I52" s="158">
        <v>0.72</v>
      </c>
      <c r="J52" s="158">
        <f t="shared" si="5"/>
        <v>0</v>
      </c>
      <c r="K52" s="158">
        <v>7.87</v>
      </c>
      <c r="L52" s="158"/>
      <c r="M52" s="158">
        <f t="shared" si="3"/>
        <v>7.87</v>
      </c>
      <c r="N52" s="158">
        <f t="shared" si="4"/>
        <v>10.069930069930066</v>
      </c>
      <c r="O52" s="158">
        <v>7.87</v>
      </c>
      <c r="P52" s="158">
        <v>4.4</v>
      </c>
      <c r="Q52" s="158">
        <v>3.47</v>
      </c>
      <c r="R52" s="158">
        <f t="shared" si="6"/>
        <v>0</v>
      </c>
      <c r="S52" s="158">
        <f t="shared" si="7"/>
        <v>7.87</v>
      </c>
      <c r="T52" s="169" t="s">
        <v>88</v>
      </c>
    </row>
    <row r="53" spans="1:20" ht="28.5" customHeight="1">
      <c r="A53" s="156">
        <v>20111</v>
      </c>
      <c r="B53" s="157" t="s">
        <v>133</v>
      </c>
      <c r="C53" s="158">
        <v>471.49</v>
      </c>
      <c r="D53" s="158"/>
      <c r="E53" s="158">
        <f t="shared" si="1"/>
        <v>471.49</v>
      </c>
      <c r="F53" s="158">
        <v>49.86</v>
      </c>
      <c r="G53" s="158">
        <v>0</v>
      </c>
      <c r="H53" s="158">
        <v>0</v>
      </c>
      <c r="I53" s="158">
        <v>98.36</v>
      </c>
      <c r="J53" s="158">
        <f t="shared" si="5"/>
        <v>20</v>
      </c>
      <c r="K53" s="158">
        <v>619.71</v>
      </c>
      <c r="L53" s="158">
        <v>20</v>
      </c>
      <c r="M53" s="158">
        <f t="shared" si="3"/>
        <v>639.71</v>
      </c>
      <c r="N53" s="158">
        <f t="shared" si="4"/>
        <v>35.67838130183036</v>
      </c>
      <c r="O53" s="158">
        <v>619.71</v>
      </c>
      <c r="P53" s="158">
        <v>401.14</v>
      </c>
      <c r="Q53" s="158">
        <v>218.57</v>
      </c>
      <c r="R53" s="158">
        <f t="shared" si="6"/>
        <v>20</v>
      </c>
      <c r="S53" s="158">
        <f t="shared" si="7"/>
        <v>639.71</v>
      </c>
      <c r="T53" s="169"/>
    </row>
    <row r="54" spans="1:20" ht="61.5" customHeight="1">
      <c r="A54" s="156">
        <v>2011101</v>
      </c>
      <c r="B54" s="157" t="s">
        <v>87</v>
      </c>
      <c r="C54" s="158">
        <v>349.54</v>
      </c>
      <c r="D54" s="158"/>
      <c r="E54" s="158">
        <f t="shared" si="1"/>
        <v>349.54</v>
      </c>
      <c r="F54" s="158">
        <v>49.86</v>
      </c>
      <c r="G54" s="158">
        <v>0</v>
      </c>
      <c r="H54" s="158">
        <v>0</v>
      </c>
      <c r="I54" s="158">
        <v>98.36</v>
      </c>
      <c r="J54" s="158">
        <f t="shared" si="5"/>
        <v>0</v>
      </c>
      <c r="K54" s="158">
        <v>497.76</v>
      </c>
      <c r="L54" s="158"/>
      <c r="M54" s="158">
        <f t="shared" si="3"/>
        <v>497.76</v>
      </c>
      <c r="N54" s="158">
        <f t="shared" si="4"/>
        <v>42.404302797963034</v>
      </c>
      <c r="O54" s="158">
        <v>497.76</v>
      </c>
      <c r="P54" s="158">
        <v>329.95</v>
      </c>
      <c r="Q54" s="158">
        <v>167.81</v>
      </c>
      <c r="R54" s="158">
        <f t="shared" si="6"/>
        <v>0</v>
      </c>
      <c r="S54" s="158">
        <f t="shared" si="7"/>
        <v>497.76</v>
      </c>
      <c r="T54" s="169" t="s">
        <v>126</v>
      </c>
    </row>
    <row r="55" spans="1:20" ht="28.5" customHeight="1">
      <c r="A55" s="156">
        <v>2011104</v>
      </c>
      <c r="B55" s="157" t="s">
        <v>134</v>
      </c>
      <c r="C55" s="158">
        <v>26.35</v>
      </c>
      <c r="D55" s="158"/>
      <c r="E55" s="158">
        <f t="shared" si="1"/>
        <v>26.35</v>
      </c>
      <c r="F55" s="158">
        <v>0</v>
      </c>
      <c r="G55" s="158">
        <v>0</v>
      </c>
      <c r="H55" s="158">
        <v>0</v>
      </c>
      <c r="I55" s="158">
        <v>0</v>
      </c>
      <c r="J55" s="158">
        <f t="shared" si="5"/>
        <v>0</v>
      </c>
      <c r="K55" s="158">
        <v>26.35</v>
      </c>
      <c r="L55" s="158"/>
      <c r="M55" s="158">
        <f t="shared" si="3"/>
        <v>26.35</v>
      </c>
      <c r="N55" s="158">
        <f t="shared" si="4"/>
        <v>0</v>
      </c>
      <c r="O55" s="158">
        <v>26.35</v>
      </c>
      <c r="P55" s="158">
        <v>14.99</v>
      </c>
      <c r="Q55" s="158">
        <v>11.36</v>
      </c>
      <c r="R55" s="158">
        <f t="shared" si="6"/>
        <v>0</v>
      </c>
      <c r="S55" s="158">
        <f t="shared" si="7"/>
        <v>26.35</v>
      </c>
      <c r="T55" s="169"/>
    </row>
    <row r="56" spans="1:20" ht="28.5" customHeight="1">
      <c r="A56" s="156">
        <v>2011105</v>
      </c>
      <c r="B56" s="157" t="s">
        <v>135</v>
      </c>
      <c r="C56" s="158">
        <v>30</v>
      </c>
      <c r="D56" s="158"/>
      <c r="E56" s="158">
        <f t="shared" si="1"/>
        <v>30</v>
      </c>
      <c r="F56" s="158">
        <v>0</v>
      </c>
      <c r="G56" s="158">
        <v>0</v>
      </c>
      <c r="H56" s="158">
        <v>0</v>
      </c>
      <c r="I56" s="158">
        <v>0</v>
      </c>
      <c r="J56" s="158">
        <f t="shared" si="5"/>
        <v>0</v>
      </c>
      <c r="K56" s="158">
        <v>30</v>
      </c>
      <c r="L56" s="158"/>
      <c r="M56" s="158">
        <f t="shared" si="3"/>
        <v>30</v>
      </c>
      <c r="N56" s="158">
        <f t="shared" si="4"/>
        <v>0</v>
      </c>
      <c r="O56" s="158">
        <v>30</v>
      </c>
      <c r="P56" s="158">
        <v>22.6</v>
      </c>
      <c r="Q56" s="158">
        <v>7.4</v>
      </c>
      <c r="R56" s="158">
        <f t="shared" si="6"/>
        <v>0</v>
      </c>
      <c r="S56" s="158">
        <f t="shared" si="7"/>
        <v>30</v>
      </c>
      <c r="T56" s="169"/>
    </row>
    <row r="57" spans="1:20" ht="28.5" customHeight="1">
      <c r="A57" s="156">
        <v>2011199</v>
      </c>
      <c r="B57" s="157" t="s">
        <v>136</v>
      </c>
      <c r="C57" s="158">
        <v>65.6</v>
      </c>
      <c r="D57" s="158"/>
      <c r="E57" s="158">
        <f t="shared" si="1"/>
        <v>65.6</v>
      </c>
      <c r="F57" s="158">
        <v>0</v>
      </c>
      <c r="G57" s="158">
        <v>0</v>
      </c>
      <c r="H57" s="158">
        <v>0</v>
      </c>
      <c r="I57" s="158">
        <v>0</v>
      </c>
      <c r="J57" s="158">
        <f t="shared" si="5"/>
        <v>20</v>
      </c>
      <c r="K57" s="158">
        <v>65.6</v>
      </c>
      <c r="L57" s="158">
        <v>20</v>
      </c>
      <c r="M57" s="158">
        <f t="shared" si="3"/>
        <v>85.6</v>
      </c>
      <c r="N57" s="158">
        <f t="shared" si="4"/>
        <v>30.487804878048784</v>
      </c>
      <c r="O57" s="158">
        <v>65.6</v>
      </c>
      <c r="P57" s="158">
        <v>33.6</v>
      </c>
      <c r="Q57" s="158">
        <v>32</v>
      </c>
      <c r="R57" s="158">
        <f t="shared" si="6"/>
        <v>20</v>
      </c>
      <c r="S57" s="158">
        <f t="shared" si="7"/>
        <v>85.6</v>
      </c>
      <c r="T57" s="169" t="s">
        <v>137</v>
      </c>
    </row>
    <row r="58" spans="1:20" ht="28.5" customHeight="1">
      <c r="A58" s="156">
        <v>20113</v>
      </c>
      <c r="B58" s="157" t="s">
        <v>138</v>
      </c>
      <c r="C58" s="158">
        <v>571.2</v>
      </c>
      <c r="D58" s="158"/>
      <c r="E58" s="158">
        <f t="shared" si="1"/>
        <v>571.2</v>
      </c>
      <c r="F58" s="158">
        <v>-0.28</v>
      </c>
      <c r="G58" s="158">
        <v>0</v>
      </c>
      <c r="H58" s="158">
        <v>0</v>
      </c>
      <c r="I58" s="158">
        <v>95.56</v>
      </c>
      <c r="J58" s="158">
        <f t="shared" si="5"/>
        <v>0</v>
      </c>
      <c r="K58" s="158">
        <v>666.48</v>
      </c>
      <c r="L58" s="158"/>
      <c r="M58" s="158">
        <f t="shared" si="3"/>
        <v>666.48</v>
      </c>
      <c r="N58" s="158">
        <f t="shared" si="4"/>
        <v>16.68067226890755</v>
      </c>
      <c r="O58" s="158">
        <v>666.48</v>
      </c>
      <c r="P58" s="158">
        <v>427.1</v>
      </c>
      <c r="Q58" s="158">
        <v>239.38</v>
      </c>
      <c r="R58" s="158">
        <f t="shared" si="6"/>
        <v>0</v>
      </c>
      <c r="S58" s="158">
        <f t="shared" si="7"/>
        <v>666.48</v>
      </c>
      <c r="T58" s="169"/>
    </row>
    <row r="59" spans="1:20" ht="67.5" customHeight="1">
      <c r="A59" s="156">
        <v>2011301</v>
      </c>
      <c r="B59" s="157" t="s">
        <v>87</v>
      </c>
      <c r="C59" s="158">
        <v>288.32</v>
      </c>
      <c r="D59" s="158"/>
      <c r="E59" s="158">
        <f t="shared" si="1"/>
        <v>288.32</v>
      </c>
      <c r="F59" s="158">
        <v>2</v>
      </c>
      <c r="G59" s="158">
        <v>0</v>
      </c>
      <c r="H59" s="158">
        <v>0</v>
      </c>
      <c r="I59" s="158">
        <v>68.2</v>
      </c>
      <c r="J59" s="158">
        <f t="shared" si="5"/>
        <v>0</v>
      </c>
      <c r="K59" s="158">
        <v>358.52</v>
      </c>
      <c r="L59" s="158"/>
      <c r="M59" s="158">
        <f t="shared" si="3"/>
        <v>358.52</v>
      </c>
      <c r="N59" s="158">
        <f t="shared" si="4"/>
        <v>24.347946725860158</v>
      </c>
      <c r="O59" s="158">
        <v>358.52</v>
      </c>
      <c r="P59" s="158">
        <v>234.23</v>
      </c>
      <c r="Q59" s="158">
        <v>124.29</v>
      </c>
      <c r="R59" s="158">
        <f t="shared" si="6"/>
        <v>0</v>
      </c>
      <c r="S59" s="158">
        <f t="shared" si="7"/>
        <v>358.52</v>
      </c>
      <c r="T59" s="169" t="s">
        <v>107</v>
      </c>
    </row>
    <row r="60" spans="1:20" ht="28.5" customHeight="1">
      <c r="A60" s="156">
        <v>2011302</v>
      </c>
      <c r="B60" s="157" t="s">
        <v>89</v>
      </c>
      <c r="C60" s="158">
        <v>15</v>
      </c>
      <c r="D60" s="158"/>
      <c r="E60" s="158">
        <f t="shared" si="1"/>
        <v>15</v>
      </c>
      <c r="F60" s="158">
        <v>0</v>
      </c>
      <c r="G60" s="158">
        <v>0</v>
      </c>
      <c r="H60" s="158">
        <v>0</v>
      </c>
      <c r="I60" s="158">
        <v>0</v>
      </c>
      <c r="J60" s="158">
        <f t="shared" si="5"/>
        <v>0</v>
      </c>
      <c r="K60" s="158">
        <v>15</v>
      </c>
      <c r="L60" s="158"/>
      <c r="M60" s="158">
        <f t="shared" si="3"/>
        <v>15</v>
      </c>
      <c r="N60" s="158">
        <f t="shared" si="4"/>
        <v>0</v>
      </c>
      <c r="O60" s="158">
        <v>15</v>
      </c>
      <c r="P60" s="158">
        <v>15</v>
      </c>
      <c r="Q60" s="158">
        <v>0</v>
      </c>
      <c r="R60" s="158">
        <f t="shared" si="6"/>
        <v>0</v>
      </c>
      <c r="S60" s="158">
        <f t="shared" si="7"/>
        <v>15</v>
      </c>
      <c r="T60" s="169"/>
    </row>
    <row r="61" spans="1:20" ht="69.75" customHeight="1">
      <c r="A61" s="156">
        <v>2011399</v>
      </c>
      <c r="B61" s="157" t="s">
        <v>139</v>
      </c>
      <c r="C61" s="158">
        <v>267.88</v>
      </c>
      <c r="D61" s="158"/>
      <c r="E61" s="158">
        <f t="shared" si="1"/>
        <v>267.88</v>
      </c>
      <c r="F61" s="158">
        <v>-2.28</v>
      </c>
      <c r="G61" s="158">
        <v>0</v>
      </c>
      <c r="H61" s="158">
        <v>0</v>
      </c>
      <c r="I61" s="158">
        <v>27.36</v>
      </c>
      <c r="J61" s="158">
        <f t="shared" si="5"/>
        <v>0</v>
      </c>
      <c r="K61" s="158">
        <v>292.96</v>
      </c>
      <c r="L61" s="158"/>
      <c r="M61" s="158">
        <f t="shared" si="3"/>
        <v>292.96</v>
      </c>
      <c r="N61" s="158">
        <f t="shared" si="4"/>
        <v>9.362401075108263</v>
      </c>
      <c r="O61" s="158">
        <v>292.96</v>
      </c>
      <c r="P61" s="158">
        <v>177.87</v>
      </c>
      <c r="Q61" s="158">
        <v>115.09</v>
      </c>
      <c r="R61" s="158">
        <f t="shared" si="6"/>
        <v>0</v>
      </c>
      <c r="S61" s="158">
        <f t="shared" si="7"/>
        <v>292.96</v>
      </c>
      <c r="T61" s="169" t="s">
        <v>103</v>
      </c>
    </row>
    <row r="62" spans="1:20" ht="28.5" customHeight="1">
      <c r="A62" s="156">
        <v>20114</v>
      </c>
      <c r="B62" s="157" t="s">
        <v>140</v>
      </c>
      <c r="C62" s="158">
        <v>5</v>
      </c>
      <c r="D62" s="158">
        <v>7.64</v>
      </c>
      <c r="E62" s="158">
        <f t="shared" si="1"/>
        <v>12.64</v>
      </c>
      <c r="F62" s="158">
        <v>0</v>
      </c>
      <c r="G62" s="158">
        <v>0</v>
      </c>
      <c r="H62" s="158">
        <v>0</v>
      </c>
      <c r="I62" s="158">
        <v>0</v>
      </c>
      <c r="J62" s="158">
        <f t="shared" si="5"/>
        <v>184.80700000000002</v>
      </c>
      <c r="K62" s="158">
        <v>5</v>
      </c>
      <c r="L62" s="158">
        <v>192.447</v>
      </c>
      <c r="M62" s="158">
        <f t="shared" si="3"/>
        <v>197.447</v>
      </c>
      <c r="N62" s="158">
        <f t="shared" si="4"/>
        <v>1462.0806962025317</v>
      </c>
      <c r="O62" s="158">
        <v>5</v>
      </c>
      <c r="P62" s="158">
        <v>0</v>
      </c>
      <c r="Q62" s="158">
        <v>5</v>
      </c>
      <c r="R62" s="158">
        <f t="shared" si="6"/>
        <v>192.447</v>
      </c>
      <c r="S62" s="158">
        <f t="shared" si="7"/>
        <v>197.447</v>
      </c>
      <c r="T62" s="169"/>
    </row>
    <row r="63" spans="1:20" ht="28.5" customHeight="1">
      <c r="A63" s="156">
        <v>2011406</v>
      </c>
      <c r="B63" s="157" t="s">
        <v>141</v>
      </c>
      <c r="C63" s="158">
        <v>5</v>
      </c>
      <c r="D63" s="158">
        <v>7.64</v>
      </c>
      <c r="E63" s="158">
        <f t="shared" si="1"/>
        <v>12.64</v>
      </c>
      <c r="F63" s="158">
        <v>0</v>
      </c>
      <c r="G63" s="158">
        <v>0</v>
      </c>
      <c r="H63" s="158">
        <v>0</v>
      </c>
      <c r="I63" s="158">
        <v>0</v>
      </c>
      <c r="J63" s="158">
        <f t="shared" si="5"/>
        <v>23.56</v>
      </c>
      <c r="K63" s="158">
        <v>5</v>
      </c>
      <c r="L63" s="158">
        <v>31.2</v>
      </c>
      <c r="M63" s="158">
        <f t="shared" si="3"/>
        <v>36.2</v>
      </c>
      <c r="N63" s="158">
        <f t="shared" si="4"/>
        <v>186.39240506329116</v>
      </c>
      <c r="O63" s="158">
        <v>5</v>
      </c>
      <c r="P63" s="158">
        <v>0</v>
      </c>
      <c r="Q63" s="158">
        <v>5</v>
      </c>
      <c r="R63" s="158">
        <f t="shared" si="6"/>
        <v>31.2</v>
      </c>
      <c r="S63" s="158">
        <f t="shared" si="7"/>
        <v>36.2</v>
      </c>
      <c r="T63" s="169" t="s">
        <v>137</v>
      </c>
    </row>
    <row r="64" spans="1:20" ht="28.5" customHeight="1">
      <c r="A64" s="159">
        <v>2011409</v>
      </c>
      <c r="B64" s="157" t="s">
        <v>142</v>
      </c>
      <c r="C64" s="158"/>
      <c r="D64" s="158"/>
      <c r="E64" s="158"/>
      <c r="F64" s="158"/>
      <c r="G64" s="158"/>
      <c r="H64" s="158"/>
      <c r="I64" s="158"/>
      <c r="J64" s="158">
        <f t="shared" si="5"/>
        <v>135</v>
      </c>
      <c r="K64" s="158"/>
      <c r="L64" s="158">
        <v>135</v>
      </c>
      <c r="M64" s="158">
        <f>L64+K64</f>
        <v>135</v>
      </c>
      <c r="N64" s="158">
        <v>100</v>
      </c>
      <c r="O64" s="158"/>
      <c r="P64" s="158"/>
      <c r="Q64" s="158"/>
      <c r="R64" s="158">
        <f t="shared" si="6"/>
        <v>135</v>
      </c>
      <c r="S64" s="158">
        <f t="shared" si="7"/>
        <v>135</v>
      </c>
      <c r="T64" s="169" t="s">
        <v>137</v>
      </c>
    </row>
    <row r="65" spans="1:20" ht="28.5" customHeight="1">
      <c r="A65" s="159">
        <v>2011499</v>
      </c>
      <c r="B65" s="157" t="s">
        <v>143</v>
      </c>
      <c r="C65" s="158"/>
      <c r="D65" s="158"/>
      <c r="E65" s="158"/>
      <c r="F65" s="158"/>
      <c r="G65" s="158"/>
      <c r="H65" s="158"/>
      <c r="I65" s="158"/>
      <c r="J65" s="158">
        <f t="shared" si="5"/>
        <v>26.247</v>
      </c>
      <c r="K65" s="158"/>
      <c r="L65" s="158">
        <v>26.247</v>
      </c>
      <c r="M65" s="158">
        <f>L65+K65</f>
        <v>26.247</v>
      </c>
      <c r="N65" s="158">
        <v>100</v>
      </c>
      <c r="O65" s="158"/>
      <c r="P65" s="158"/>
      <c r="Q65" s="158"/>
      <c r="R65" s="158">
        <f t="shared" si="6"/>
        <v>26.247</v>
      </c>
      <c r="S65" s="158">
        <f t="shared" si="7"/>
        <v>26.247</v>
      </c>
      <c r="T65" s="169" t="s">
        <v>137</v>
      </c>
    </row>
    <row r="66" spans="1:20" ht="28.5" customHeight="1">
      <c r="A66" s="156">
        <v>20115</v>
      </c>
      <c r="B66" s="157" t="s">
        <v>144</v>
      </c>
      <c r="C66" s="158">
        <v>832.77</v>
      </c>
      <c r="D66" s="158"/>
      <c r="E66" s="158">
        <f aca="true" t="shared" si="8" ref="E66:E84">C66+D66</f>
        <v>832.77</v>
      </c>
      <c r="F66" s="158">
        <v>-24.04</v>
      </c>
      <c r="G66" s="158">
        <v>0</v>
      </c>
      <c r="H66" s="158">
        <v>0</v>
      </c>
      <c r="I66" s="158">
        <v>171.76</v>
      </c>
      <c r="J66" s="158">
        <f t="shared" si="5"/>
        <v>0</v>
      </c>
      <c r="K66" s="158">
        <v>980.49</v>
      </c>
      <c r="L66" s="158"/>
      <c r="M66" s="158">
        <f aca="true" t="shared" si="9" ref="M66:M129">K66+L66</f>
        <v>980.49</v>
      </c>
      <c r="N66" s="158">
        <f aca="true" t="shared" si="10" ref="N66:N81">(M66/E66-1)*100</f>
        <v>17.73839115241904</v>
      </c>
      <c r="O66" s="158">
        <v>980.49</v>
      </c>
      <c r="P66" s="158">
        <v>630.49</v>
      </c>
      <c r="Q66" s="158">
        <v>350</v>
      </c>
      <c r="R66" s="158">
        <f t="shared" si="6"/>
        <v>0</v>
      </c>
      <c r="S66" s="158">
        <f t="shared" si="7"/>
        <v>980.49</v>
      </c>
      <c r="T66" s="169"/>
    </row>
    <row r="67" spans="1:20" ht="66.75" customHeight="1">
      <c r="A67" s="156">
        <v>2011501</v>
      </c>
      <c r="B67" s="157" t="s">
        <v>87</v>
      </c>
      <c r="C67" s="158">
        <v>699.37</v>
      </c>
      <c r="D67" s="158"/>
      <c r="E67" s="158">
        <f t="shared" si="8"/>
        <v>699.37</v>
      </c>
      <c r="F67" s="158">
        <v>-24.04</v>
      </c>
      <c r="G67" s="158">
        <v>0</v>
      </c>
      <c r="H67" s="158">
        <v>0</v>
      </c>
      <c r="I67" s="158">
        <v>171.76</v>
      </c>
      <c r="J67" s="158">
        <f t="shared" si="5"/>
        <v>0</v>
      </c>
      <c r="K67" s="158">
        <v>847.09</v>
      </c>
      <c r="L67" s="158"/>
      <c r="M67" s="158">
        <f t="shared" si="9"/>
        <v>847.09</v>
      </c>
      <c r="N67" s="158">
        <f t="shared" si="10"/>
        <v>21.121866822997838</v>
      </c>
      <c r="O67" s="158">
        <v>847.09</v>
      </c>
      <c r="P67" s="158">
        <v>558.49</v>
      </c>
      <c r="Q67" s="158">
        <v>288.6</v>
      </c>
      <c r="R67" s="158">
        <f t="shared" si="6"/>
        <v>0</v>
      </c>
      <c r="S67" s="158">
        <f t="shared" si="7"/>
        <v>847.09</v>
      </c>
      <c r="T67" s="169" t="s">
        <v>103</v>
      </c>
    </row>
    <row r="68" spans="1:20" ht="28.5" customHeight="1">
      <c r="A68" s="156">
        <v>2011502</v>
      </c>
      <c r="B68" s="157" t="s">
        <v>89</v>
      </c>
      <c r="C68" s="158">
        <v>20</v>
      </c>
      <c r="D68" s="158"/>
      <c r="E68" s="158">
        <f t="shared" si="8"/>
        <v>20</v>
      </c>
      <c r="F68" s="158">
        <v>0</v>
      </c>
      <c r="G68" s="158">
        <v>0</v>
      </c>
      <c r="H68" s="158">
        <v>0</v>
      </c>
      <c r="I68" s="158">
        <v>0</v>
      </c>
      <c r="J68" s="158">
        <f t="shared" si="5"/>
        <v>0</v>
      </c>
      <c r="K68" s="158">
        <v>20</v>
      </c>
      <c r="L68" s="158"/>
      <c r="M68" s="158">
        <f t="shared" si="9"/>
        <v>20</v>
      </c>
      <c r="N68" s="158">
        <f t="shared" si="10"/>
        <v>0</v>
      </c>
      <c r="O68" s="158">
        <v>20</v>
      </c>
      <c r="P68" s="158">
        <v>10</v>
      </c>
      <c r="Q68" s="158">
        <v>10</v>
      </c>
      <c r="R68" s="158">
        <f t="shared" si="6"/>
        <v>0</v>
      </c>
      <c r="S68" s="158">
        <f t="shared" si="7"/>
        <v>20</v>
      </c>
      <c r="T68" s="169"/>
    </row>
    <row r="69" spans="1:20" ht="28.5" customHeight="1">
      <c r="A69" s="156">
        <v>2011504</v>
      </c>
      <c r="B69" s="157" t="s">
        <v>145</v>
      </c>
      <c r="C69" s="158">
        <v>40</v>
      </c>
      <c r="D69" s="158"/>
      <c r="E69" s="158">
        <f t="shared" si="8"/>
        <v>40</v>
      </c>
      <c r="F69" s="158">
        <v>0</v>
      </c>
      <c r="G69" s="158">
        <v>0</v>
      </c>
      <c r="H69" s="158">
        <v>0</v>
      </c>
      <c r="I69" s="158">
        <v>0</v>
      </c>
      <c r="J69" s="158">
        <f t="shared" si="5"/>
        <v>0</v>
      </c>
      <c r="K69" s="158">
        <v>40</v>
      </c>
      <c r="L69" s="158"/>
      <c r="M69" s="158">
        <f t="shared" si="9"/>
        <v>40</v>
      </c>
      <c r="N69" s="158">
        <f t="shared" si="10"/>
        <v>0</v>
      </c>
      <c r="O69" s="158">
        <v>40</v>
      </c>
      <c r="P69" s="158">
        <v>20</v>
      </c>
      <c r="Q69" s="158">
        <v>20</v>
      </c>
      <c r="R69" s="158">
        <f t="shared" si="6"/>
        <v>0</v>
      </c>
      <c r="S69" s="158">
        <f t="shared" si="7"/>
        <v>40</v>
      </c>
      <c r="T69" s="169"/>
    </row>
    <row r="70" spans="1:20" ht="28.5" customHeight="1">
      <c r="A70" s="156">
        <v>2011505</v>
      </c>
      <c r="B70" s="157" t="s">
        <v>146</v>
      </c>
      <c r="C70" s="158">
        <v>7</v>
      </c>
      <c r="D70" s="158"/>
      <c r="E70" s="158">
        <f t="shared" si="8"/>
        <v>7</v>
      </c>
      <c r="F70" s="158">
        <v>0</v>
      </c>
      <c r="G70" s="158">
        <v>0</v>
      </c>
      <c r="H70" s="158">
        <v>0</v>
      </c>
      <c r="I70" s="158">
        <v>0</v>
      </c>
      <c r="J70" s="158">
        <f t="shared" si="5"/>
        <v>0</v>
      </c>
      <c r="K70" s="158">
        <v>7</v>
      </c>
      <c r="L70" s="158"/>
      <c r="M70" s="158">
        <f t="shared" si="9"/>
        <v>7</v>
      </c>
      <c r="N70" s="158">
        <f t="shared" si="10"/>
        <v>0</v>
      </c>
      <c r="O70" s="158">
        <v>7</v>
      </c>
      <c r="P70" s="158">
        <v>7</v>
      </c>
      <c r="Q70" s="158">
        <v>0</v>
      </c>
      <c r="R70" s="158">
        <f t="shared" si="6"/>
        <v>0</v>
      </c>
      <c r="S70" s="158">
        <f t="shared" si="7"/>
        <v>7</v>
      </c>
      <c r="T70" s="169"/>
    </row>
    <row r="71" spans="1:20" ht="28.5" customHeight="1">
      <c r="A71" s="156">
        <v>2011507</v>
      </c>
      <c r="B71" s="157" t="s">
        <v>118</v>
      </c>
      <c r="C71" s="158">
        <v>10</v>
      </c>
      <c r="D71" s="158"/>
      <c r="E71" s="158">
        <f t="shared" si="8"/>
        <v>10</v>
      </c>
      <c r="F71" s="158">
        <v>0</v>
      </c>
      <c r="G71" s="158">
        <v>0</v>
      </c>
      <c r="H71" s="158">
        <v>0</v>
      </c>
      <c r="I71" s="158">
        <v>0</v>
      </c>
      <c r="J71" s="158">
        <f t="shared" si="5"/>
        <v>0</v>
      </c>
      <c r="K71" s="158">
        <v>10</v>
      </c>
      <c r="L71" s="158"/>
      <c r="M71" s="158">
        <f t="shared" si="9"/>
        <v>10</v>
      </c>
      <c r="N71" s="158">
        <f t="shared" si="10"/>
        <v>0</v>
      </c>
      <c r="O71" s="158">
        <v>10</v>
      </c>
      <c r="P71" s="158">
        <v>5</v>
      </c>
      <c r="Q71" s="158">
        <v>5</v>
      </c>
      <c r="R71" s="158">
        <f t="shared" si="6"/>
        <v>0</v>
      </c>
      <c r="S71" s="158">
        <f t="shared" si="7"/>
        <v>10</v>
      </c>
      <c r="T71" s="169"/>
    </row>
    <row r="72" spans="1:20" ht="39" customHeight="1">
      <c r="A72" s="156">
        <v>2011599</v>
      </c>
      <c r="B72" s="157" t="s">
        <v>147</v>
      </c>
      <c r="C72" s="158">
        <v>56.4</v>
      </c>
      <c r="D72" s="158"/>
      <c r="E72" s="158">
        <f t="shared" si="8"/>
        <v>56.4</v>
      </c>
      <c r="F72" s="158">
        <v>0</v>
      </c>
      <c r="G72" s="158">
        <v>0</v>
      </c>
      <c r="H72" s="158">
        <v>0</v>
      </c>
      <c r="I72" s="158">
        <v>0</v>
      </c>
      <c r="J72" s="158">
        <f aca="true" t="shared" si="11" ref="J72:J112">L72-D72</f>
        <v>0</v>
      </c>
      <c r="K72" s="158">
        <v>56.4</v>
      </c>
      <c r="L72" s="158"/>
      <c r="M72" s="158">
        <f t="shared" si="9"/>
        <v>56.4</v>
      </c>
      <c r="N72" s="158">
        <f t="shared" si="10"/>
        <v>0</v>
      </c>
      <c r="O72" s="158">
        <v>56.4</v>
      </c>
      <c r="P72" s="158">
        <v>30</v>
      </c>
      <c r="Q72" s="158">
        <v>26.4</v>
      </c>
      <c r="R72" s="158">
        <f aca="true" t="shared" si="12" ref="R72:R112">L72</f>
        <v>0</v>
      </c>
      <c r="S72" s="158">
        <f aca="true" t="shared" si="13" ref="S72:S112">M72</f>
        <v>56.4</v>
      </c>
      <c r="T72" s="169"/>
    </row>
    <row r="73" spans="1:20" ht="39" customHeight="1">
      <c r="A73" s="156">
        <v>20117</v>
      </c>
      <c r="B73" s="157" t="s">
        <v>148</v>
      </c>
      <c r="C73" s="158">
        <v>81</v>
      </c>
      <c r="D73" s="158"/>
      <c r="E73" s="158">
        <f t="shared" si="8"/>
        <v>81</v>
      </c>
      <c r="F73" s="158">
        <v>0</v>
      </c>
      <c r="G73" s="158">
        <v>0</v>
      </c>
      <c r="H73" s="158">
        <v>0</v>
      </c>
      <c r="I73" s="158">
        <v>0</v>
      </c>
      <c r="J73" s="158">
        <f t="shared" si="11"/>
        <v>0</v>
      </c>
      <c r="K73" s="158">
        <v>81</v>
      </c>
      <c r="L73" s="158"/>
      <c r="M73" s="158">
        <f t="shared" si="9"/>
        <v>81</v>
      </c>
      <c r="N73" s="158">
        <f t="shared" si="10"/>
        <v>0</v>
      </c>
      <c r="O73" s="158">
        <v>81</v>
      </c>
      <c r="P73" s="158">
        <v>40.46</v>
      </c>
      <c r="Q73" s="158">
        <v>40.54</v>
      </c>
      <c r="R73" s="158">
        <f t="shared" si="12"/>
        <v>0</v>
      </c>
      <c r="S73" s="158">
        <f t="shared" si="13"/>
        <v>81</v>
      </c>
      <c r="T73" s="169"/>
    </row>
    <row r="74" spans="1:20" ht="28.5" customHeight="1">
      <c r="A74" s="156">
        <v>2011702</v>
      </c>
      <c r="B74" s="157" t="s">
        <v>89</v>
      </c>
      <c r="C74" s="158">
        <v>15</v>
      </c>
      <c r="D74" s="158"/>
      <c r="E74" s="158">
        <f t="shared" si="8"/>
        <v>15</v>
      </c>
      <c r="F74" s="158">
        <v>0</v>
      </c>
      <c r="G74" s="158">
        <v>0</v>
      </c>
      <c r="H74" s="158">
        <v>0</v>
      </c>
      <c r="I74" s="158">
        <v>0</v>
      </c>
      <c r="J74" s="158">
        <f t="shared" si="11"/>
        <v>0</v>
      </c>
      <c r="K74" s="158">
        <v>15</v>
      </c>
      <c r="L74" s="158"/>
      <c r="M74" s="158">
        <f t="shared" si="9"/>
        <v>15</v>
      </c>
      <c r="N74" s="158">
        <f t="shared" si="10"/>
        <v>0</v>
      </c>
      <c r="O74" s="158">
        <v>15</v>
      </c>
      <c r="P74" s="158">
        <v>5.46</v>
      </c>
      <c r="Q74" s="158">
        <v>9.54</v>
      </c>
      <c r="R74" s="158">
        <f t="shared" si="12"/>
        <v>0</v>
      </c>
      <c r="S74" s="158">
        <f t="shared" si="13"/>
        <v>15</v>
      </c>
      <c r="T74" s="169"/>
    </row>
    <row r="75" spans="1:20" ht="36.75" customHeight="1">
      <c r="A75" s="156">
        <v>2011706</v>
      </c>
      <c r="B75" s="157" t="s">
        <v>149</v>
      </c>
      <c r="C75" s="158">
        <v>55</v>
      </c>
      <c r="D75" s="158"/>
      <c r="E75" s="158">
        <f t="shared" si="8"/>
        <v>55</v>
      </c>
      <c r="F75" s="158">
        <v>0</v>
      </c>
      <c r="G75" s="158">
        <v>0</v>
      </c>
      <c r="H75" s="158">
        <v>0</v>
      </c>
      <c r="I75" s="158">
        <v>0</v>
      </c>
      <c r="J75" s="158">
        <f t="shared" si="11"/>
        <v>0</v>
      </c>
      <c r="K75" s="158">
        <v>55</v>
      </c>
      <c r="L75" s="158"/>
      <c r="M75" s="158">
        <f t="shared" si="9"/>
        <v>55</v>
      </c>
      <c r="N75" s="158">
        <f t="shared" si="10"/>
        <v>0</v>
      </c>
      <c r="O75" s="158">
        <v>55</v>
      </c>
      <c r="P75" s="158">
        <v>29</v>
      </c>
      <c r="Q75" s="158">
        <v>26</v>
      </c>
      <c r="R75" s="158">
        <f t="shared" si="12"/>
        <v>0</v>
      </c>
      <c r="S75" s="158">
        <f t="shared" si="13"/>
        <v>55</v>
      </c>
      <c r="T75" s="169"/>
    </row>
    <row r="76" spans="1:20" ht="36.75" customHeight="1">
      <c r="A76" s="156">
        <v>2011799</v>
      </c>
      <c r="B76" s="157" t="s">
        <v>150</v>
      </c>
      <c r="C76" s="158">
        <v>11</v>
      </c>
      <c r="D76" s="158"/>
      <c r="E76" s="158">
        <f t="shared" si="8"/>
        <v>11</v>
      </c>
      <c r="F76" s="158">
        <v>0</v>
      </c>
      <c r="G76" s="158">
        <v>0</v>
      </c>
      <c r="H76" s="158">
        <v>0</v>
      </c>
      <c r="I76" s="158">
        <v>0</v>
      </c>
      <c r="J76" s="158">
        <f t="shared" si="11"/>
        <v>0</v>
      </c>
      <c r="K76" s="158">
        <v>11</v>
      </c>
      <c r="L76" s="158"/>
      <c r="M76" s="158">
        <f t="shared" si="9"/>
        <v>11</v>
      </c>
      <c r="N76" s="158">
        <f t="shared" si="10"/>
        <v>0</v>
      </c>
      <c r="O76" s="158">
        <v>11</v>
      </c>
      <c r="P76" s="158">
        <v>6</v>
      </c>
      <c r="Q76" s="158">
        <v>5</v>
      </c>
      <c r="R76" s="158">
        <f t="shared" si="12"/>
        <v>0</v>
      </c>
      <c r="S76" s="158">
        <f t="shared" si="13"/>
        <v>11</v>
      </c>
      <c r="T76" s="169"/>
    </row>
    <row r="77" spans="1:20" ht="28.5" customHeight="1">
      <c r="A77" s="156">
        <v>20124</v>
      </c>
      <c r="B77" s="157" t="s">
        <v>151</v>
      </c>
      <c r="C77" s="158">
        <v>71.59</v>
      </c>
      <c r="D77" s="158"/>
      <c r="E77" s="158">
        <f t="shared" si="8"/>
        <v>71.59</v>
      </c>
      <c r="F77" s="158">
        <v>0</v>
      </c>
      <c r="G77" s="158">
        <v>0</v>
      </c>
      <c r="H77" s="158">
        <v>0</v>
      </c>
      <c r="I77" s="158">
        <v>20.27</v>
      </c>
      <c r="J77" s="158">
        <f t="shared" si="11"/>
        <v>0</v>
      </c>
      <c r="K77" s="158">
        <v>91.86</v>
      </c>
      <c r="L77" s="158"/>
      <c r="M77" s="158">
        <f t="shared" si="9"/>
        <v>91.86</v>
      </c>
      <c r="N77" s="158">
        <f t="shared" si="10"/>
        <v>28.314010336639186</v>
      </c>
      <c r="O77" s="158">
        <v>91.86</v>
      </c>
      <c r="P77" s="158">
        <v>54.26</v>
      </c>
      <c r="Q77" s="158">
        <v>37.6</v>
      </c>
      <c r="R77" s="158">
        <f t="shared" si="12"/>
        <v>0</v>
      </c>
      <c r="S77" s="158">
        <f t="shared" si="13"/>
        <v>91.86</v>
      </c>
      <c r="T77" s="169"/>
    </row>
    <row r="78" spans="1:20" ht="52.5" customHeight="1">
      <c r="A78" s="156">
        <v>2012401</v>
      </c>
      <c r="B78" s="157" t="s">
        <v>87</v>
      </c>
      <c r="C78" s="158">
        <v>61.59</v>
      </c>
      <c r="D78" s="158"/>
      <c r="E78" s="158">
        <f t="shared" si="8"/>
        <v>61.59</v>
      </c>
      <c r="F78" s="158">
        <v>0</v>
      </c>
      <c r="G78" s="158">
        <v>0</v>
      </c>
      <c r="H78" s="158">
        <v>0</v>
      </c>
      <c r="I78" s="158">
        <v>15.27</v>
      </c>
      <c r="J78" s="158">
        <f t="shared" si="11"/>
        <v>0</v>
      </c>
      <c r="K78" s="158">
        <v>76.86</v>
      </c>
      <c r="L78" s="158"/>
      <c r="M78" s="158">
        <f t="shared" si="9"/>
        <v>76.86</v>
      </c>
      <c r="N78" s="158">
        <f t="shared" si="10"/>
        <v>24.79298587433023</v>
      </c>
      <c r="O78" s="158">
        <v>76.86</v>
      </c>
      <c r="P78" s="158">
        <v>49.26</v>
      </c>
      <c r="Q78" s="158">
        <v>27.6</v>
      </c>
      <c r="R78" s="158">
        <f t="shared" si="12"/>
        <v>0</v>
      </c>
      <c r="S78" s="158">
        <f t="shared" si="13"/>
        <v>76.86</v>
      </c>
      <c r="T78" s="169" t="s">
        <v>88</v>
      </c>
    </row>
    <row r="79" spans="1:20" ht="51.75" customHeight="1">
      <c r="A79" s="156">
        <v>2012404</v>
      </c>
      <c r="B79" s="157" t="s">
        <v>152</v>
      </c>
      <c r="C79" s="158">
        <v>10</v>
      </c>
      <c r="D79" s="158"/>
      <c r="E79" s="158">
        <f t="shared" si="8"/>
        <v>10</v>
      </c>
      <c r="F79" s="158">
        <v>0</v>
      </c>
      <c r="G79" s="158">
        <v>0</v>
      </c>
      <c r="H79" s="158">
        <v>0</v>
      </c>
      <c r="I79" s="158">
        <v>5</v>
      </c>
      <c r="J79" s="158">
        <f t="shared" si="11"/>
        <v>0</v>
      </c>
      <c r="K79" s="158">
        <v>15</v>
      </c>
      <c r="L79" s="158"/>
      <c r="M79" s="158">
        <f t="shared" si="9"/>
        <v>15</v>
      </c>
      <c r="N79" s="158">
        <f t="shared" si="10"/>
        <v>50</v>
      </c>
      <c r="O79" s="158">
        <v>15</v>
      </c>
      <c r="P79" s="158">
        <v>5</v>
      </c>
      <c r="Q79" s="158">
        <v>10</v>
      </c>
      <c r="R79" s="158">
        <f t="shared" si="12"/>
        <v>0</v>
      </c>
      <c r="S79" s="158">
        <f t="shared" si="13"/>
        <v>15</v>
      </c>
      <c r="T79" s="169" t="s">
        <v>153</v>
      </c>
    </row>
    <row r="80" spans="1:20" ht="28.5" customHeight="1">
      <c r="A80" s="156">
        <v>20125</v>
      </c>
      <c r="B80" s="157" t="s">
        <v>154</v>
      </c>
      <c r="C80" s="158">
        <v>12</v>
      </c>
      <c r="D80" s="158"/>
      <c r="E80" s="158">
        <f t="shared" si="8"/>
        <v>12</v>
      </c>
      <c r="F80" s="158">
        <v>0</v>
      </c>
      <c r="G80" s="158">
        <v>0</v>
      </c>
      <c r="H80" s="158">
        <v>0</v>
      </c>
      <c r="I80" s="158">
        <v>30.11</v>
      </c>
      <c r="J80" s="158">
        <f t="shared" si="11"/>
        <v>0</v>
      </c>
      <c r="K80" s="158">
        <v>42.11</v>
      </c>
      <c r="L80" s="158"/>
      <c r="M80" s="158">
        <f t="shared" si="9"/>
        <v>42.11</v>
      </c>
      <c r="N80" s="158">
        <f t="shared" si="10"/>
        <v>250.91666666666669</v>
      </c>
      <c r="O80" s="158">
        <v>42.11</v>
      </c>
      <c r="P80" s="158">
        <v>30.11</v>
      </c>
      <c r="Q80" s="158">
        <v>12</v>
      </c>
      <c r="R80" s="158">
        <f t="shared" si="12"/>
        <v>0</v>
      </c>
      <c r="S80" s="158">
        <f t="shared" si="13"/>
        <v>42.11</v>
      </c>
      <c r="T80" s="169"/>
    </row>
    <row r="81" spans="1:20" ht="28.5" customHeight="1">
      <c r="A81" s="156">
        <v>2012502</v>
      </c>
      <c r="B81" s="157" t="s">
        <v>89</v>
      </c>
      <c r="C81" s="158">
        <v>4</v>
      </c>
      <c r="D81" s="158"/>
      <c r="E81" s="158">
        <f t="shared" si="8"/>
        <v>4</v>
      </c>
      <c r="F81" s="158">
        <v>0</v>
      </c>
      <c r="G81" s="158">
        <v>0</v>
      </c>
      <c r="H81" s="158">
        <v>0</v>
      </c>
      <c r="I81" s="158">
        <v>0</v>
      </c>
      <c r="J81" s="158">
        <f t="shared" si="11"/>
        <v>0</v>
      </c>
      <c r="K81" s="158">
        <v>4</v>
      </c>
      <c r="L81" s="158"/>
      <c r="M81" s="158">
        <f t="shared" si="9"/>
        <v>4</v>
      </c>
      <c r="N81" s="158">
        <f t="shared" si="10"/>
        <v>0</v>
      </c>
      <c r="O81" s="158">
        <v>4</v>
      </c>
      <c r="P81" s="158">
        <v>0</v>
      </c>
      <c r="Q81" s="158">
        <v>4</v>
      </c>
      <c r="R81" s="158">
        <f t="shared" si="12"/>
        <v>0</v>
      </c>
      <c r="S81" s="158">
        <f t="shared" si="13"/>
        <v>4</v>
      </c>
      <c r="T81" s="169"/>
    </row>
    <row r="82" spans="1:20" ht="52.5" customHeight="1">
      <c r="A82" s="156">
        <v>2012504</v>
      </c>
      <c r="B82" s="157" t="s">
        <v>155</v>
      </c>
      <c r="C82" s="158">
        <v>0</v>
      </c>
      <c r="D82" s="158"/>
      <c r="E82" s="158">
        <f t="shared" si="8"/>
        <v>0</v>
      </c>
      <c r="F82" s="158">
        <v>0</v>
      </c>
      <c r="G82" s="158">
        <v>0</v>
      </c>
      <c r="H82" s="158">
        <v>0</v>
      </c>
      <c r="I82" s="158">
        <v>30.11</v>
      </c>
      <c r="J82" s="158">
        <f t="shared" si="11"/>
        <v>0</v>
      </c>
      <c r="K82" s="158">
        <v>30.11</v>
      </c>
      <c r="L82" s="158"/>
      <c r="M82" s="158">
        <f t="shared" si="9"/>
        <v>30.11</v>
      </c>
      <c r="N82" s="158">
        <v>100</v>
      </c>
      <c r="O82" s="158">
        <v>30.11</v>
      </c>
      <c r="P82" s="158">
        <v>30.11</v>
      </c>
      <c r="Q82" s="158">
        <v>0</v>
      </c>
      <c r="R82" s="158">
        <f t="shared" si="12"/>
        <v>0</v>
      </c>
      <c r="S82" s="158">
        <f t="shared" si="13"/>
        <v>30.11</v>
      </c>
      <c r="T82" s="169" t="s">
        <v>88</v>
      </c>
    </row>
    <row r="83" spans="1:20" ht="28.5" customHeight="1">
      <c r="A83" s="156">
        <v>2012505</v>
      </c>
      <c r="B83" s="157" t="s">
        <v>156</v>
      </c>
      <c r="C83" s="158">
        <v>4</v>
      </c>
      <c r="D83" s="158"/>
      <c r="E83" s="158">
        <f t="shared" si="8"/>
        <v>4</v>
      </c>
      <c r="F83" s="158">
        <v>0</v>
      </c>
      <c r="G83" s="158">
        <v>0</v>
      </c>
      <c r="H83" s="158">
        <v>0</v>
      </c>
      <c r="I83" s="158">
        <v>0</v>
      </c>
      <c r="J83" s="158">
        <f t="shared" si="11"/>
        <v>0</v>
      </c>
      <c r="K83" s="158">
        <v>4</v>
      </c>
      <c r="L83" s="158"/>
      <c r="M83" s="158">
        <f t="shared" si="9"/>
        <v>4</v>
      </c>
      <c r="N83" s="158">
        <f aca="true" t="shared" si="14" ref="N83:N121">(M83/E83-1)*100</f>
        <v>0</v>
      </c>
      <c r="O83" s="158">
        <v>4</v>
      </c>
      <c r="P83" s="158">
        <v>0</v>
      </c>
      <c r="Q83" s="158">
        <v>4</v>
      </c>
      <c r="R83" s="158">
        <f t="shared" si="12"/>
        <v>0</v>
      </c>
      <c r="S83" s="158">
        <f t="shared" si="13"/>
        <v>4</v>
      </c>
      <c r="T83" s="169"/>
    </row>
    <row r="84" spans="1:20" ht="28.5" customHeight="1">
      <c r="A84" s="156">
        <v>2012506</v>
      </c>
      <c r="B84" s="157" t="s">
        <v>157</v>
      </c>
      <c r="C84" s="158">
        <v>4</v>
      </c>
      <c r="D84" s="158"/>
      <c r="E84" s="158">
        <f t="shared" si="8"/>
        <v>4</v>
      </c>
      <c r="F84" s="158">
        <v>0</v>
      </c>
      <c r="G84" s="158">
        <v>0</v>
      </c>
      <c r="H84" s="158">
        <v>0</v>
      </c>
      <c r="I84" s="158">
        <v>0</v>
      </c>
      <c r="J84" s="158">
        <f t="shared" si="11"/>
        <v>0</v>
      </c>
      <c r="K84" s="158">
        <v>4</v>
      </c>
      <c r="L84" s="158"/>
      <c r="M84" s="158">
        <f t="shared" si="9"/>
        <v>4</v>
      </c>
      <c r="N84" s="158">
        <f t="shared" si="14"/>
        <v>0</v>
      </c>
      <c r="O84" s="158">
        <v>4</v>
      </c>
      <c r="P84" s="158">
        <v>0</v>
      </c>
      <c r="Q84" s="158">
        <v>4</v>
      </c>
      <c r="R84" s="158">
        <f t="shared" si="12"/>
        <v>0</v>
      </c>
      <c r="S84" s="158">
        <f t="shared" si="13"/>
        <v>4</v>
      </c>
      <c r="T84" s="169"/>
    </row>
    <row r="85" spans="1:20" ht="28.5" customHeight="1">
      <c r="A85" s="156">
        <v>20126</v>
      </c>
      <c r="B85" s="157" t="s">
        <v>158</v>
      </c>
      <c r="C85" s="158"/>
      <c r="D85" s="158"/>
      <c r="E85" s="158"/>
      <c r="F85" s="158"/>
      <c r="G85" s="158"/>
      <c r="H85" s="158"/>
      <c r="I85" s="158"/>
      <c r="J85" s="158">
        <f t="shared" si="11"/>
        <v>100</v>
      </c>
      <c r="K85" s="158"/>
      <c r="L85" s="158">
        <v>100</v>
      </c>
      <c r="M85" s="158">
        <f t="shared" si="9"/>
        <v>100</v>
      </c>
      <c r="N85" s="158">
        <v>100</v>
      </c>
      <c r="O85" s="158"/>
      <c r="P85" s="158"/>
      <c r="Q85" s="158"/>
      <c r="R85" s="158">
        <f t="shared" si="12"/>
        <v>100</v>
      </c>
      <c r="S85" s="158">
        <f t="shared" si="13"/>
        <v>100</v>
      </c>
      <c r="T85" s="169"/>
    </row>
    <row r="86" spans="1:20" ht="28.5" customHeight="1">
      <c r="A86" s="156">
        <v>2012604</v>
      </c>
      <c r="B86" s="157" t="s">
        <v>159</v>
      </c>
      <c r="C86" s="158"/>
      <c r="D86" s="158"/>
      <c r="E86" s="158"/>
      <c r="F86" s="158"/>
      <c r="G86" s="158"/>
      <c r="H86" s="158"/>
      <c r="I86" s="158"/>
      <c r="J86" s="158">
        <f t="shared" si="11"/>
        <v>100</v>
      </c>
      <c r="K86" s="158"/>
      <c r="L86" s="158">
        <v>100</v>
      </c>
      <c r="M86" s="158">
        <f t="shared" si="9"/>
        <v>100</v>
      </c>
      <c r="N86" s="158">
        <v>100</v>
      </c>
      <c r="O86" s="158"/>
      <c r="P86" s="158"/>
      <c r="Q86" s="158"/>
      <c r="R86" s="158">
        <f t="shared" si="12"/>
        <v>100</v>
      </c>
      <c r="S86" s="158">
        <f t="shared" si="13"/>
        <v>100</v>
      </c>
      <c r="T86" s="169" t="s">
        <v>137</v>
      </c>
    </row>
    <row r="87" spans="1:20" ht="28.5" customHeight="1">
      <c r="A87" s="156">
        <v>20128</v>
      </c>
      <c r="B87" s="157" t="s">
        <v>160</v>
      </c>
      <c r="C87" s="158">
        <v>59.55</v>
      </c>
      <c r="D87" s="158"/>
      <c r="E87" s="158">
        <f aca="true" t="shared" si="15" ref="E87:E121">C87+D87</f>
        <v>59.55</v>
      </c>
      <c r="F87" s="158">
        <v>0.65</v>
      </c>
      <c r="G87" s="158">
        <v>0</v>
      </c>
      <c r="H87" s="158">
        <v>0</v>
      </c>
      <c r="I87" s="158">
        <v>14.53</v>
      </c>
      <c r="J87" s="158">
        <f t="shared" si="11"/>
        <v>0</v>
      </c>
      <c r="K87" s="158">
        <v>74.73</v>
      </c>
      <c r="L87" s="158"/>
      <c r="M87" s="158">
        <f t="shared" si="9"/>
        <v>74.73</v>
      </c>
      <c r="N87" s="158">
        <f t="shared" si="14"/>
        <v>25.491183879093214</v>
      </c>
      <c r="O87" s="158">
        <v>74.73</v>
      </c>
      <c r="P87" s="158">
        <v>47.05</v>
      </c>
      <c r="Q87" s="158">
        <v>27.68</v>
      </c>
      <c r="R87" s="158">
        <f t="shared" si="12"/>
        <v>0</v>
      </c>
      <c r="S87" s="158">
        <f t="shared" si="13"/>
        <v>74.73</v>
      </c>
      <c r="T87" s="169"/>
    </row>
    <row r="88" spans="1:20" ht="67.5" customHeight="1">
      <c r="A88" s="156">
        <v>2012801</v>
      </c>
      <c r="B88" s="157" t="s">
        <v>87</v>
      </c>
      <c r="C88" s="158">
        <v>56.55</v>
      </c>
      <c r="D88" s="158"/>
      <c r="E88" s="158">
        <f t="shared" si="15"/>
        <v>56.55</v>
      </c>
      <c r="F88" s="158">
        <v>0.65</v>
      </c>
      <c r="G88" s="158">
        <v>0</v>
      </c>
      <c r="H88" s="158">
        <v>0</v>
      </c>
      <c r="I88" s="158">
        <v>14.53</v>
      </c>
      <c r="J88" s="158">
        <f t="shared" si="11"/>
        <v>0</v>
      </c>
      <c r="K88" s="158">
        <v>71.73</v>
      </c>
      <c r="L88" s="158"/>
      <c r="M88" s="158">
        <f t="shared" si="9"/>
        <v>71.73</v>
      </c>
      <c r="N88" s="158">
        <f t="shared" si="14"/>
        <v>26.843501326259968</v>
      </c>
      <c r="O88" s="158">
        <v>71.73</v>
      </c>
      <c r="P88" s="158">
        <v>47.05</v>
      </c>
      <c r="Q88" s="158">
        <v>24.68</v>
      </c>
      <c r="R88" s="158">
        <f t="shared" si="12"/>
        <v>0</v>
      </c>
      <c r="S88" s="158">
        <f t="shared" si="13"/>
        <v>71.73</v>
      </c>
      <c r="T88" s="169" t="s">
        <v>126</v>
      </c>
    </row>
    <row r="89" spans="1:20" ht="28.5" customHeight="1">
      <c r="A89" s="156">
        <v>2012802</v>
      </c>
      <c r="B89" s="157" t="s">
        <v>89</v>
      </c>
      <c r="C89" s="158">
        <v>2</v>
      </c>
      <c r="D89" s="158"/>
      <c r="E89" s="158">
        <f t="shared" si="15"/>
        <v>2</v>
      </c>
      <c r="F89" s="158">
        <v>0</v>
      </c>
      <c r="G89" s="158">
        <v>0</v>
      </c>
      <c r="H89" s="158">
        <v>0</v>
      </c>
      <c r="I89" s="158">
        <v>0</v>
      </c>
      <c r="J89" s="158">
        <f t="shared" si="11"/>
        <v>0</v>
      </c>
      <c r="K89" s="158">
        <v>2</v>
      </c>
      <c r="L89" s="158"/>
      <c r="M89" s="158">
        <f t="shared" si="9"/>
        <v>2</v>
      </c>
      <c r="N89" s="158">
        <f t="shared" si="14"/>
        <v>0</v>
      </c>
      <c r="O89" s="158">
        <v>2</v>
      </c>
      <c r="P89" s="158">
        <v>0</v>
      </c>
      <c r="Q89" s="158">
        <v>2</v>
      </c>
      <c r="R89" s="158">
        <f t="shared" si="12"/>
        <v>0</v>
      </c>
      <c r="S89" s="158">
        <f t="shared" si="13"/>
        <v>2</v>
      </c>
      <c r="T89" s="169"/>
    </row>
    <row r="90" spans="1:20" ht="36.75" customHeight="1">
      <c r="A90" s="156">
        <v>2012899</v>
      </c>
      <c r="B90" s="157" t="s">
        <v>161</v>
      </c>
      <c r="C90" s="158">
        <v>1</v>
      </c>
      <c r="D90" s="158"/>
      <c r="E90" s="158">
        <f t="shared" si="15"/>
        <v>1</v>
      </c>
      <c r="F90" s="158">
        <v>0</v>
      </c>
      <c r="G90" s="158">
        <v>0</v>
      </c>
      <c r="H90" s="158">
        <v>0</v>
      </c>
      <c r="I90" s="158">
        <v>0</v>
      </c>
      <c r="J90" s="158">
        <f t="shared" si="11"/>
        <v>0</v>
      </c>
      <c r="K90" s="158">
        <v>1</v>
      </c>
      <c r="L90" s="158"/>
      <c r="M90" s="158">
        <f t="shared" si="9"/>
        <v>1</v>
      </c>
      <c r="N90" s="158">
        <f t="shared" si="14"/>
        <v>0</v>
      </c>
      <c r="O90" s="158">
        <v>1</v>
      </c>
      <c r="P90" s="158">
        <v>0</v>
      </c>
      <c r="Q90" s="158">
        <v>1</v>
      </c>
      <c r="R90" s="158">
        <f t="shared" si="12"/>
        <v>0</v>
      </c>
      <c r="S90" s="158">
        <f t="shared" si="13"/>
        <v>1</v>
      </c>
      <c r="T90" s="169"/>
    </row>
    <row r="91" spans="1:20" ht="28.5" customHeight="1">
      <c r="A91" s="156">
        <v>20129</v>
      </c>
      <c r="B91" s="157" t="s">
        <v>162</v>
      </c>
      <c r="C91" s="158">
        <v>248.1</v>
      </c>
      <c r="D91" s="158"/>
      <c r="E91" s="158">
        <f t="shared" si="15"/>
        <v>248.1</v>
      </c>
      <c r="F91" s="158">
        <v>0</v>
      </c>
      <c r="G91" s="158">
        <v>0</v>
      </c>
      <c r="H91" s="158">
        <v>0</v>
      </c>
      <c r="I91" s="158">
        <v>38.73</v>
      </c>
      <c r="J91" s="158">
        <f t="shared" si="11"/>
        <v>0</v>
      </c>
      <c r="K91" s="158">
        <v>286.83</v>
      </c>
      <c r="L91" s="158"/>
      <c r="M91" s="158">
        <f t="shared" si="9"/>
        <v>286.83</v>
      </c>
      <c r="N91" s="158">
        <f t="shared" si="14"/>
        <v>15.610640870616677</v>
      </c>
      <c r="O91" s="158">
        <v>286.83</v>
      </c>
      <c r="P91" s="158">
        <v>201.59</v>
      </c>
      <c r="Q91" s="158">
        <v>85.24</v>
      </c>
      <c r="R91" s="158">
        <f t="shared" si="12"/>
        <v>0</v>
      </c>
      <c r="S91" s="158">
        <f t="shared" si="13"/>
        <v>286.83</v>
      </c>
      <c r="T91" s="169"/>
    </row>
    <row r="92" spans="1:20" ht="51.75" customHeight="1">
      <c r="A92" s="156">
        <v>2012901</v>
      </c>
      <c r="B92" s="157" t="s">
        <v>87</v>
      </c>
      <c r="C92" s="158">
        <v>170.1</v>
      </c>
      <c r="D92" s="158"/>
      <c r="E92" s="158">
        <f t="shared" si="15"/>
        <v>170.1</v>
      </c>
      <c r="F92" s="158">
        <v>0</v>
      </c>
      <c r="G92" s="158">
        <v>0</v>
      </c>
      <c r="H92" s="158">
        <v>0</v>
      </c>
      <c r="I92" s="158">
        <v>38.73</v>
      </c>
      <c r="J92" s="158">
        <f t="shared" si="11"/>
        <v>0</v>
      </c>
      <c r="K92" s="158">
        <v>208.83</v>
      </c>
      <c r="L92" s="158"/>
      <c r="M92" s="158">
        <f t="shared" si="9"/>
        <v>208.83</v>
      </c>
      <c r="N92" s="158">
        <f t="shared" si="14"/>
        <v>22.768959435626112</v>
      </c>
      <c r="O92" s="158">
        <v>208.83</v>
      </c>
      <c r="P92" s="158">
        <v>132.59</v>
      </c>
      <c r="Q92" s="158">
        <v>76.24</v>
      </c>
      <c r="R92" s="158">
        <f t="shared" si="12"/>
        <v>0</v>
      </c>
      <c r="S92" s="158">
        <f t="shared" si="13"/>
        <v>208.83</v>
      </c>
      <c r="T92" s="169" t="s">
        <v>88</v>
      </c>
    </row>
    <row r="93" spans="1:20" ht="28.5" customHeight="1">
      <c r="A93" s="156">
        <v>2012902</v>
      </c>
      <c r="B93" s="157" t="s">
        <v>89</v>
      </c>
      <c r="C93" s="158">
        <v>75</v>
      </c>
      <c r="D93" s="158"/>
      <c r="E93" s="158">
        <f t="shared" si="15"/>
        <v>75</v>
      </c>
      <c r="F93" s="158">
        <v>0</v>
      </c>
      <c r="G93" s="158">
        <v>0</v>
      </c>
      <c r="H93" s="158">
        <v>0</v>
      </c>
      <c r="I93" s="158">
        <v>0</v>
      </c>
      <c r="J93" s="158">
        <f t="shared" si="11"/>
        <v>0</v>
      </c>
      <c r="K93" s="158">
        <v>75</v>
      </c>
      <c r="L93" s="158"/>
      <c r="M93" s="158">
        <f t="shared" si="9"/>
        <v>75</v>
      </c>
      <c r="N93" s="158">
        <f t="shared" si="14"/>
        <v>0</v>
      </c>
      <c r="O93" s="158">
        <v>75</v>
      </c>
      <c r="P93" s="158">
        <v>66</v>
      </c>
      <c r="Q93" s="158">
        <v>9</v>
      </c>
      <c r="R93" s="158">
        <f t="shared" si="12"/>
        <v>0</v>
      </c>
      <c r="S93" s="158">
        <f t="shared" si="13"/>
        <v>75</v>
      </c>
      <c r="T93" s="169"/>
    </row>
    <row r="94" spans="1:20" ht="28.5" customHeight="1">
      <c r="A94" s="156">
        <v>2012999</v>
      </c>
      <c r="B94" s="157" t="s">
        <v>163</v>
      </c>
      <c r="C94" s="158">
        <v>3</v>
      </c>
      <c r="D94" s="158"/>
      <c r="E94" s="158">
        <f t="shared" si="15"/>
        <v>3</v>
      </c>
      <c r="F94" s="158">
        <v>0</v>
      </c>
      <c r="G94" s="158">
        <v>0</v>
      </c>
      <c r="H94" s="158">
        <v>0</v>
      </c>
      <c r="I94" s="158">
        <v>0</v>
      </c>
      <c r="J94" s="158">
        <f t="shared" si="11"/>
        <v>0</v>
      </c>
      <c r="K94" s="158">
        <v>3</v>
      </c>
      <c r="L94" s="158"/>
      <c r="M94" s="158">
        <f t="shared" si="9"/>
        <v>3</v>
      </c>
      <c r="N94" s="158">
        <f t="shared" si="14"/>
        <v>0</v>
      </c>
      <c r="O94" s="158">
        <v>3</v>
      </c>
      <c r="P94" s="158">
        <v>3</v>
      </c>
      <c r="Q94" s="158">
        <v>0</v>
      </c>
      <c r="R94" s="158">
        <f t="shared" si="12"/>
        <v>0</v>
      </c>
      <c r="S94" s="158">
        <f t="shared" si="13"/>
        <v>3</v>
      </c>
      <c r="T94" s="169"/>
    </row>
    <row r="95" spans="1:20" ht="36.75" customHeight="1">
      <c r="A95" s="156">
        <v>20131</v>
      </c>
      <c r="B95" s="157" t="s">
        <v>164</v>
      </c>
      <c r="C95" s="158">
        <v>216.68</v>
      </c>
      <c r="D95" s="158"/>
      <c r="E95" s="158">
        <f t="shared" si="15"/>
        <v>216.68</v>
      </c>
      <c r="F95" s="158">
        <v>0</v>
      </c>
      <c r="G95" s="158">
        <v>0</v>
      </c>
      <c r="H95" s="158">
        <v>0</v>
      </c>
      <c r="I95" s="158">
        <v>-216.68</v>
      </c>
      <c r="J95" s="158">
        <f t="shared" si="11"/>
        <v>0</v>
      </c>
      <c r="K95" s="158">
        <v>0</v>
      </c>
      <c r="L95" s="158"/>
      <c r="M95" s="158">
        <f t="shared" si="9"/>
        <v>0</v>
      </c>
      <c r="N95" s="158">
        <f t="shared" si="14"/>
        <v>-100</v>
      </c>
      <c r="O95" s="158">
        <v>0</v>
      </c>
      <c r="P95" s="158">
        <v>0</v>
      </c>
      <c r="Q95" s="158">
        <v>0</v>
      </c>
      <c r="R95" s="158">
        <f t="shared" si="12"/>
        <v>0</v>
      </c>
      <c r="S95" s="158">
        <f t="shared" si="13"/>
        <v>0</v>
      </c>
      <c r="T95" s="169"/>
    </row>
    <row r="96" spans="1:20" s="75" customFormat="1" ht="28.5" customHeight="1">
      <c r="A96" s="156">
        <v>2013101</v>
      </c>
      <c r="B96" s="157" t="s">
        <v>87</v>
      </c>
      <c r="C96" s="158">
        <v>180.68</v>
      </c>
      <c r="D96" s="158"/>
      <c r="E96" s="158">
        <f t="shared" si="15"/>
        <v>180.68</v>
      </c>
      <c r="F96" s="158">
        <v>0</v>
      </c>
      <c r="G96" s="158">
        <v>0</v>
      </c>
      <c r="H96" s="158">
        <v>0</v>
      </c>
      <c r="I96" s="158">
        <v>-180.68</v>
      </c>
      <c r="J96" s="158">
        <f t="shared" si="11"/>
        <v>0</v>
      </c>
      <c r="K96" s="158">
        <v>0</v>
      </c>
      <c r="L96" s="158"/>
      <c r="M96" s="158">
        <f t="shared" si="9"/>
        <v>0</v>
      </c>
      <c r="N96" s="158">
        <f t="shared" si="14"/>
        <v>-100</v>
      </c>
      <c r="O96" s="158">
        <v>0</v>
      </c>
      <c r="P96" s="158">
        <v>0</v>
      </c>
      <c r="Q96" s="158">
        <v>0</v>
      </c>
      <c r="R96" s="158">
        <f t="shared" si="12"/>
        <v>0</v>
      </c>
      <c r="S96" s="158">
        <f t="shared" si="13"/>
        <v>0</v>
      </c>
      <c r="T96" s="169" t="s">
        <v>165</v>
      </c>
    </row>
    <row r="97" spans="1:20" ht="37.5" customHeight="1">
      <c r="A97" s="156">
        <v>2013199</v>
      </c>
      <c r="B97" s="157" t="s">
        <v>166</v>
      </c>
      <c r="C97" s="158">
        <v>36</v>
      </c>
      <c r="D97" s="158"/>
      <c r="E97" s="158">
        <f t="shared" si="15"/>
        <v>36</v>
      </c>
      <c r="F97" s="158">
        <v>0</v>
      </c>
      <c r="G97" s="158">
        <v>0</v>
      </c>
      <c r="H97" s="158">
        <v>0</v>
      </c>
      <c r="I97" s="158">
        <v>-36</v>
      </c>
      <c r="J97" s="158">
        <f t="shared" si="11"/>
        <v>0</v>
      </c>
      <c r="K97" s="158">
        <v>0</v>
      </c>
      <c r="L97" s="158"/>
      <c r="M97" s="158">
        <f t="shared" si="9"/>
        <v>0</v>
      </c>
      <c r="N97" s="158">
        <f t="shared" si="14"/>
        <v>-100</v>
      </c>
      <c r="O97" s="158">
        <v>0</v>
      </c>
      <c r="P97" s="158">
        <v>0</v>
      </c>
      <c r="Q97" s="158">
        <v>0</v>
      </c>
      <c r="R97" s="158">
        <f t="shared" si="12"/>
        <v>0</v>
      </c>
      <c r="S97" s="158">
        <f t="shared" si="13"/>
        <v>0</v>
      </c>
      <c r="T97" s="169" t="s">
        <v>167</v>
      </c>
    </row>
    <row r="98" spans="1:20" ht="28.5" customHeight="1">
      <c r="A98" s="156">
        <v>20132</v>
      </c>
      <c r="B98" s="157" t="s">
        <v>168</v>
      </c>
      <c r="C98" s="158">
        <v>469.66</v>
      </c>
      <c r="D98" s="158">
        <v>54.1</v>
      </c>
      <c r="E98" s="158">
        <f t="shared" si="15"/>
        <v>523.76</v>
      </c>
      <c r="F98" s="158">
        <v>-35.84</v>
      </c>
      <c r="G98" s="158">
        <v>0</v>
      </c>
      <c r="H98" s="158">
        <v>0</v>
      </c>
      <c r="I98" s="158">
        <v>44.03</v>
      </c>
      <c r="J98" s="158">
        <f t="shared" si="11"/>
        <v>11.839999999999996</v>
      </c>
      <c r="K98" s="158">
        <v>477.85</v>
      </c>
      <c r="L98" s="158">
        <v>65.94</v>
      </c>
      <c r="M98" s="158">
        <f t="shared" si="9"/>
        <v>543.79</v>
      </c>
      <c r="N98" s="158">
        <f t="shared" si="14"/>
        <v>3.8242706583167863</v>
      </c>
      <c r="O98" s="158">
        <v>477.85</v>
      </c>
      <c r="P98" s="158">
        <v>210.91</v>
      </c>
      <c r="Q98" s="158">
        <v>266.94</v>
      </c>
      <c r="R98" s="158">
        <f t="shared" si="12"/>
        <v>65.94</v>
      </c>
      <c r="S98" s="158">
        <f t="shared" si="13"/>
        <v>543.79</v>
      </c>
      <c r="T98" s="169"/>
    </row>
    <row r="99" spans="1:20" ht="51" customHeight="1">
      <c r="A99" s="156">
        <v>2013201</v>
      </c>
      <c r="B99" s="157" t="s">
        <v>87</v>
      </c>
      <c r="C99" s="158">
        <v>186.48</v>
      </c>
      <c r="D99" s="158"/>
      <c r="E99" s="158">
        <f t="shared" si="15"/>
        <v>186.48</v>
      </c>
      <c r="F99" s="158">
        <v>2</v>
      </c>
      <c r="G99" s="158">
        <v>0</v>
      </c>
      <c r="H99" s="158">
        <v>0</v>
      </c>
      <c r="I99" s="158">
        <v>42.83</v>
      </c>
      <c r="J99" s="158">
        <f t="shared" si="11"/>
        <v>0</v>
      </c>
      <c r="K99" s="158">
        <v>231.31</v>
      </c>
      <c r="L99" s="158"/>
      <c r="M99" s="158">
        <f t="shared" si="9"/>
        <v>231.31</v>
      </c>
      <c r="N99" s="158">
        <f t="shared" si="14"/>
        <v>24.040111540111543</v>
      </c>
      <c r="O99" s="158">
        <v>231.31</v>
      </c>
      <c r="P99" s="158">
        <v>142.67</v>
      </c>
      <c r="Q99" s="158">
        <v>88.64</v>
      </c>
      <c r="R99" s="158">
        <f t="shared" si="12"/>
        <v>0</v>
      </c>
      <c r="S99" s="158">
        <f t="shared" si="13"/>
        <v>231.31</v>
      </c>
      <c r="T99" s="169" t="s">
        <v>88</v>
      </c>
    </row>
    <row r="100" spans="1:20" ht="28.5" customHeight="1">
      <c r="A100" s="156">
        <v>2013202</v>
      </c>
      <c r="B100" s="157" t="s">
        <v>89</v>
      </c>
      <c r="C100" s="158">
        <v>2</v>
      </c>
      <c r="D100" s="158"/>
      <c r="E100" s="158">
        <f t="shared" si="15"/>
        <v>2</v>
      </c>
      <c r="F100" s="158">
        <v>0</v>
      </c>
      <c r="G100" s="158">
        <v>0</v>
      </c>
      <c r="H100" s="158">
        <v>0</v>
      </c>
      <c r="I100" s="158">
        <v>0</v>
      </c>
      <c r="J100" s="158">
        <f t="shared" si="11"/>
        <v>0</v>
      </c>
      <c r="K100" s="158">
        <v>2</v>
      </c>
      <c r="L100" s="158"/>
      <c r="M100" s="158">
        <f t="shared" si="9"/>
        <v>2</v>
      </c>
      <c r="N100" s="158">
        <f t="shared" si="14"/>
        <v>0</v>
      </c>
      <c r="O100" s="158">
        <v>2</v>
      </c>
      <c r="P100" s="158">
        <v>0</v>
      </c>
      <c r="Q100" s="158">
        <v>2</v>
      </c>
      <c r="R100" s="158">
        <f t="shared" si="12"/>
        <v>0</v>
      </c>
      <c r="S100" s="158">
        <f t="shared" si="13"/>
        <v>2</v>
      </c>
      <c r="T100" s="169"/>
    </row>
    <row r="101" spans="1:20" ht="52.5" customHeight="1">
      <c r="A101" s="156">
        <v>2013299</v>
      </c>
      <c r="B101" s="157" t="s">
        <v>169</v>
      </c>
      <c r="C101" s="158">
        <v>281.18</v>
      </c>
      <c r="D101" s="158">
        <v>54.1</v>
      </c>
      <c r="E101" s="158">
        <f t="shared" si="15"/>
        <v>335.28000000000003</v>
      </c>
      <c r="F101" s="158">
        <v>-37.84</v>
      </c>
      <c r="G101" s="158">
        <v>0</v>
      </c>
      <c r="H101" s="158">
        <v>0</v>
      </c>
      <c r="I101" s="158">
        <v>1.2</v>
      </c>
      <c r="J101" s="158">
        <f t="shared" si="11"/>
        <v>11.839999999999996</v>
      </c>
      <c r="K101" s="158">
        <v>244.54</v>
      </c>
      <c r="L101" s="158">
        <v>65.94</v>
      </c>
      <c r="M101" s="158">
        <f t="shared" si="9"/>
        <v>310.48</v>
      </c>
      <c r="N101" s="158">
        <f t="shared" si="14"/>
        <v>-7.396802672393221</v>
      </c>
      <c r="O101" s="158">
        <v>244.54</v>
      </c>
      <c r="P101" s="158">
        <v>68.24</v>
      </c>
      <c r="Q101" s="158">
        <v>176.3</v>
      </c>
      <c r="R101" s="158">
        <f t="shared" si="12"/>
        <v>65.94</v>
      </c>
      <c r="S101" s="158">
        <f t="shared" si="13"/>
        <v>310.48</v>
      </c>
      <c r="T101" s="169" t="s">
        <v>170</v>
      </c>
    </row>
    <row r="102" spans="1:20" ht="28.5" customHeight="1">
      <c r="A102" s="156">
        <v>20133</v>
      </c>
      <c r="B102" s="157" t="s">
        <v>171</v>
      </c>
      <c r="C102" s="158">
        <v>149.53</v>
      </c>
      <c r="D102" s="158"/>
      <c r="E102" s="158">
        <f t="shared" si="15"/>
        <v>149.53</v>
      </c>
      <c r="F102" s="158">
        <v>8.61</v>
      </c>
      <c r="G102" s="158">
        <v>0</v>
      </c>
      <c r="H102" s="158">
        <v>0</v>
      </c>
      <c r="I102" s="158">
        <v>34.5</v>
      </c>
      <c r="J102" s="158">
        <f t="shared" si="11"/>
        <v>0</v>
      </c>
      <c r="K102" s="158">
        <v>192.64</v>
      </c>
      <c r="L102" s="158"/>
      <c r="M102" s="158">
        <f t="shared" si="9"/>
        <v>192.64</v>
      </c>
      <c r="N102" s="158">
        <f t="shared" si="14"/>
        <v>28.830335049822775</v>
      </c>
      <c r="O102" s="158">
        <v>192.64</v>
      </c>
      <c r="P102" s="158">
        <v>124.18</v>
      </c>
      <c r="Q102" s="158">
        <v>68.46</v>
      </c>
      <c r="R102" s="158">
        <f t="shared" si="12"/>
        <v>0</v>
      </c>
      <c r="S102" s="158">
        <f t="shared" si="13"/>
        <v>192.64</v>
      </c>
      <c r="T102" s="169"/>
    </row>
    <row r="103" spans="1:20" ht="63.75" customHeight="1">
      <c r="A103" s="156">
        <v>2013301</v>
      </c>
      <c r="B103" s="157" t="s">
        <v>87</v>
      </c>
      <c r="C103" s="158">
        <v>134.53</v>
      </c>
      <c r="D103" s="158"/>
      <c r="E103" s="158">
        <f t="shared" si="15"/>
        <v>134.53</v>
      </c>
      <c r="F103" s="158">
        <v>8.61</v>
      </c>
      <c r="G103" s="158">
        <v>0</v>
      </c>
      <c r="H103" s="158">
        <v>0</v>
      </c>
      <c r="I103" s="158">
        <v>34.5</v>
      </c>
      <c r="J103" s="158">
        <f t="shared" si="11"/>
        <v>0</v>
      </c>
      <c r="K103" s="158">
        <v>177.64</v>
      </c>
      <c r="L103" s="158"/>
      <c r="M103" s="158">
        <f t="shared" si="9"/>
        <v>177.64</v>
      </c>
      <c r="N103" s="158">
        <f t="shared" si="14"/>
        <v>32.04489704898534</v>
      </c>
      <c r="O103" s="158">
        <v>177.64</v>
      </c>
      <c r="P103" s="158">
        <v>119.18</v>
      </c>
      <c r="Q103" s="158">
        <v>58.46</v>
      </c>
      <c r="R103" s="158">
        <f t="shared" si="12"/>
        <v>0</v>
      </c>
      <c r="S103" s="158">
        <f t="shared" si="13"/>
        <v>177.64</v>
      </c>
      <c r="T103" s="169" t="s">
        <v>126</v>
      </c>
    </row>
    <row r="104" spans="1:20" ht="28.5" customHeight="1">
      <c r="A104" s="156">
        <v>2013399</v>
      </c>
      <c r="B104" s="157" t="s">
        <v>172</v>
      </c>
      <c r="C104" s="158">
        <v>15</v>
      </c>
      <c r="D104" s="158"/>
      <c r="E104" s="158">
        <f t="shared" si="15"/>
        <v>15</v>
      </c>
      <c r="F104" s="158">
        <v>0</v>
      </c>
      <c r="G104" s="158">
        <v>0</v>
      </c>
      <c r="H104" s="158">
        <v>0</v>
      </c>
      <c r="I104" s="158">
        <v>0</v>
      </c>
      <c r="J104" s="158">
        <f t="shared" si="11"/>
        <v>0</v>
      </c>
      <c r="K104" s="158">
        <v>15</v>
      </c>
      <c r="L104" s="158"/>
      <c r="M104" s="158">
        <f t="shared" si="9"/>
        <v>15</v>
      </c>
      <c r="N104" s="158">
        <f t="shared" si="14"/>
        <v>0</v>
      </c>
      <c r="O104" s="158">
        <v>15</v>
      </c>
      <c r="P104" s="158">
        <v>5</v>
      </c>
      <c r="Q104" s="158">
        <v>10</v>
      </c>
      <c r="R104" s="158">
        <f t="shared" si="12"/>
        <v>0</v>
      </c>
      <c r="S104" s="158">
        <f t="shared" si="13"/>
        <v>15</v>
      </c>
      <c r="T104" s="169"/>
    </row>
    <row r="105" spans="1:20" ht="28.5" customHeight="1">
      <c r="A105" s="156">
        <v>20134</v>
      </c>
      <c r="B105" s="157" t="s">
        <v>173</v>
      </c>
      <c r="C105" s="158">
        <v>82.19</v>
      </c>
      <c r="D105" s="158"/>
      <c r="E105" s="158">
        <f t="shared" si="15"/>
        <v>82.19</v>
      </c>
      <c r="F105" s="158">
        <v>0</v>
      </c>
      <c r="G105" s="158">
        <v>0</v>
      </c>
      <c r="H105" s="158">
        <v>0</v>
      </c>
      <c r="I105" s="158">
        <v>15.13</v>
      </c>
      <c r="J105" s="158">
        <f t="shared" si="11"/>
        <v>0</v>
      </c>
      <c r="K105" s="158">
        <v>97.32</v>
      </c>
      <c r="L105" s="158"/>
      <c r="M105" s="158">
        <f t="shared" si="9"/>
        <v>97.32</v>
      </c>
      <c r="N105" s="158">
        <f t="shared" si="14"/>
        <v>18.408565518919563</v>
      </c>
      <c r="O105" s="158">
        <v>97.32</v>
      </c>
      <c r="P105" s="158">
        <v>50.7</v>
      </c>
      <c r="Q105" s="158">
        <v>46.62</v>
      </c>
      <c r="R105" s="158">
        <f t="shared" si="12"/>
        <v>0</v>
      </c>
      <c r="S105" s="158">
        <f t="shared" si="13"/>
        <v>97.32</v>
      </c>
      <c r="T105" s="169"/>
    </row>
    <row r="106" spans="1:20" ht="51.75" customHeight="1">
      <c r="A106" s="156">
        <v>2013401</v>
      </c>
      <c r="B106" s="157" t="s">
        <v>87</v>
      </c>
      <c r="C106" s="158">
        <v>71.19</v>
      </c>
      <c r="D106" s="158"/>
      <c r="E106" s="158">
        <f t="shared" si="15"/>
        <v>71.19</v>
      </c>
      <c r="F106" s="158">
        <v>0</v>
      </c>
      <c r="G106" s="158">
        <v>0</v>
      </c>
      <c r="H106" s="158">
        <v>0</v>
      </c>
      <c r="I106" s="158">
        <v>15.13</v>
      </c>
      <c r="J106" s="158">
        <f t="shared" si="11"/>
        <v>0</v>
      </c>
      <c r="K106" s="158">
        <v>86.32</v>
      </c>
      <c r="L106" s="158"/>
      <c r="M106" s="158">
        <f t="shared" si="9"/>
        <v>86.32</v>
      </c>
      <c r="N106" s="158">
        <f t="shared" si="14"/>
        <v>21.252984969799126</v>
      </c>
      <c r="O106" s="158">
        <v>86.32</v>
      </c>
      <c r="P106" s="158">
        <v>50.7</v>
      </c>
      <c r="Q106" s="158">
        <v>35.62</v>
      </c>
      <c r="R106" s="158">
        <f t="shared" si="12"/>
        <v>0</v>
      </c>
      <c r="S106" s="158">
        <f t="shared" si="13"/>
        <v>86.32</v>
      </c>
      <c r="T106" s="169" t="s">
        <v>88</v>
      </c>
    </row>
    <row r="107" spans="1:20" ht="28.5" customHeight="1">
      <c r="A107" s="156">
        <v>2013499</v>
      </c>
      <c r="B107" s="157" t="s">
        <v>174</v>
      </c>
      <c r="C107" s="158">
        <v>11</v>
      </c>
      <c r="D107" s="158"/>
      <c r="E107" s="158">
        <f t="shared" si="15"/>
        <v>11</v>
      </c>
      <c r="F107" s="158">
        <v>0</v>
      </c>
      <c r="G107" s="158">
        <v>0</v>
      </c>
      <c r="H107" s="158">
        <v>0</v>
      </c>
      <c r="I107" s="158">
        <v>0</v>
      </c>
      <c r="J107" s="158">
        <f t="shared" si="11"/>
        <v>0</v>
      </c>
      <c r="K107" s="158">
        <v>11</v>
      </c>
      <c r="L107" s="158"/>
      <c r="M107" s="158">
        <f t="shared" si="9"/>
        <v>11</v>
      </c>
      <c r="N107" s="158">
        <f t="shared" si="14"/>
        <v>0</v>
      </c>
      <c r="O107" s="158">
        <v>11</v>
      </c>
      <c r="P107" s="158">
        <v>0</v>
      </c>
      <c r="Q107" s="158">
        <v>11</v>
      </c>
      <c r="R107" s="158">
        <f t="shared" si="12"/>
        <v>0</v>
      </c>
      <c r="S107" s="158">
        <f t="shared" si="13"/>
        <v>11</v>
      </c>
      <c r="T107" s="169"/>
    </row>
    <row r="108" spans="1:20" ht="28.5" customHeight="1">
      <c r="A108" s="156">
        <v>20136</v>
      </c>
      <c r="B108" s="157" t="s">
        <v>175</v>
      </c>
      <c r="C108" s="158">
        <v>231.88</v>
      </c>
      <c r="D108" s="158"/>
      <c r="E108" s="158">
        <f t="shared" si="15"/>
        <v>231.88</v>
      </c>
      <c r="F108" s="158">
        <v>1.37</v>
      </c>
      <c r="G108" s="158">
        <v>0</v>
      </c>
      <c r="H108" s="158">
        <v>0</v>
      </c>
      <c r="I108" s="158">
        <v>279.31</v>
      </c>
      <c r="J108" s="158">
        <f t="shared" si="11"/>
        <v>0</v>
      </c>
      <c r="K108" s="158">
        <v>512.56</v>
      </c>
      <c r="L108" s="158"/>
      <c r="M108" s="158">
        <f t="shared" si="9"/>
        <v>512.56</v>
      </c>
      <c r="N108" s="158">
        <f t="shared" si="14"/>
        <v>121.04536829394515</v>
      </c>
      <c r="O108" s="158">
        <v>512.56</v>
      </c>
      <c r="P108" s="158">
        <v>279.19</v>
      </c>
      <c r="Q108" s="158">
        <v>233.37</v>
      </c>
      <c r="R108" s="158">
        <f t="shared" si="12"/>
        <v>0</v>
      </c>
      <c r="S108" s="158">
        <f t="shared" si="13"/>
        <v>512.56</v>
      </c>
      <c r="T108" s="169"/>
    </row>
    <row r="109" spans="1:20" ht="61.5" customHeight="1">
      <c r="A109" s="156">
        <v>2013601</v>
      </c>
      <c r="B109" s="157" t="s">
        <v>87</v>
      </c>
      <c r="C109" s="158">
        <v>103.96</v>
      </c>
      <c r="D109" s="158"/>
      <c r="E109" s="158">
        <f t="shared" si="15"/>
        <v>103.96</v>
      </c>
      <c r="F109" s="158">
        <v>1.37</v>
      </c>
      <c r="G109" s="158">
        <v>0</v>
      </c>
      <c r="H109" s="158">
        <v>0</v>
      </c>
      <c r="I109" s="158">
        <v>251.31</v>
      </c>
      <c r="J109" s="158">
        <f t="shared" si="11"/>
        <v>0</v>
      </c>
      <c r="K109" s="158">
        <v>356.64</v>
      </c>
      <c r="L109" s="158"/>
      <c r="M109" s="158">
        <f t="shared" si="9"/>
        <v>356.64</v>
      </c>
      <c r="N109" s="158">
        <f t="shared" si="14"/>
        <v>243.0550211619854</v>
      </c>
      <c r="O109" s="158">
        <v>356.64</v>
      </c>
      <c r="P109" s="158">
        <v>235.91</v>
      </c>
      <c r="Q109" s="158">
        <v>120.73</v>
      </c>
      <c r="R109" s="158">
        <f t="shared" si="12"/>
        <v>0</v>
      </c>
      <c r="S109" s="158">
        <f t="shared" si="13"/>
        <v>356.64</v>
      </c>
      <c r="T109" s="169" t="s">
        <v>126</v>
      </c>
    </row>
    <row r="110" spans="1:20" ht="51.75" customHeight="1">
      <c r="A110" s="156">
        <v>2013699</v>
      </c>
      <c r="B110" s="157" t="s">
        <v>175</v>
      </c>
      <c r="C110" s="158">
        <v>127.92</v>
      </c>
      <c r="D110" s="158"/>
      <c r="E110" s="158">
        <f t="shared" si="15"/>
        <v>127.92</v>
      </c>
      <c r="F110" s="158">
        <v>0</v>
      </c>
      <c r="G110" s="158">
        <v>0</v>
      </c>
      <c r="H110" s="158">
        <v>0</v>
      </c>
      <c r="I110" s="158">
        <v>28</v>
      </c>
      <c r="J110" s="158">
        <f t="shared" si="11"/>
        <v>0</v>
      </c>
      <c r="K110" s="158">
        <v>155.92</v>
      </c>
      <c r="L110" s="158"/>
      <c r="M110" s="158">
        <f t="shared" si="9"/>
        <v>155.92</v>
      </c>
      <c r="N110" s="158">
        <f t="shared" si="14"/>
        <v>21.888680425265772</v>
      </c>
      <c r="O110" s="158">
        <v>155.92</v>
      </c>
      <c r="P110" s="158">
        <v>43.28</v>
      </c>
      <c r="Q110" s="158">
        <v>112.64</v>
      </c>
      <c r="R110" s="158">
        <f t="shared" si="12"/>
        <v>0</v>
      </c>
      <c r="S110" s="158">
        <f t="shared" si="13"/>
        <v>155.92</v>
      </c>
      <c r="T110" s="169" t="s">
        <v>176</v>
      </c>
    </row>
    <row r="111" spans="1:20" ht="28.5" customHeight="1">
      <c r="A111" s="156">
        <v>20199</v>
      </c>
      <c r="B111" s="157" t="s">
        <v>177</v>
      </c>
      <c r="C111" s="158">
        <v>1433.87</v>
      </c>
      <c r="D111" s="158"/>
      <c r="E111" s="158">
        <f t="shared" si="15"/>
        <v>1433.87</v>
      </c>
      <c r="F111" s="158">
        <v>215.37</v>
      </c>
      <c r="G111" s="158">
        <v>0</v>
      </c>
      <c r="H111" s="158">
        <v>0</v>
      </c>
      <c r="I111" s="158">
        <v>543.68</v>
      </c>
      <c r="J111" s="158">
        <f t="shared" si="11"/>
        <v>200</v>
      </c>
      <c r="K111" s="158">
        <v>2192.92</v>
      </c>
      <c r="L111" s="158">
        <v>200</v>
      </c>
      <c r="M111" s="158">
        <f t="shared" si="9"/>
        <v>2392.92</v>
      </c>
      <c r="N111" s="158">
        <f t="shared" si="14"/>
        <v>66.88542196991361</v>
      </c>
      <c r="O111" s="158">
        <v>2192.92</v>
      </c>
      <c r="P111" s="158">
        <v>958.39</v>
      </c>
      <c r="Q111" s="158">
        <v>1234.53</v>
      </c>
      <c r="R111" s="158">
        <f t="shared" si="12"/>
        <v>200</v>
      </c>
      <c r="S111" s="158">
        <f t="shared" si="13"/>
        <v>2392.92</v>
      </c>
      <c r="T111" s="169"/>
    </row>
    <row r="112" spans="1:20" ht="205.5" customHeight="1">
      <c r="A112" s="156">
        <v>2019999</v>
      </c>
      <c r="B112" s="157" t="s">
        <v>177</v>
      </c>
      <c r="C112" s="158">
        <v>1433.87</v>
      </c>
      <c r="D112" s="158"/>
      <c r="E112" s="158">
        <f t="shared" si="15"/>
        <v>1433.87</v>
      </c>
      <c r="F112" s="158">
        <f>-15.73+231.1</f>
        <v>215.37</v>
      </c>
      <c r="G112" s="158">
        <v>0</v>
      </c>
      <c r="H112" s="158">
        <v>0</v>
      </c>
      <c r="I112" s="158">
        <v>543.68</v>
      </c>
      <c r="J112" s="158">
        <f t="shared" si="11"/>
        <v>200</v>
      </c>
      <c r="K112" s="158">
        <f>-15.73+2208.65</f>
        <v>2192.92</v>
      </c>
      <c r="L112" s="158">
        <v>200</v>
      </c>
      <c r="M112" s="158">
        <f t="shared" si="9"/>
        <v>2392.92</v>
      </c>
      <c r="N112" s="158">
        <f t="shared" si="14"/>
        <v>66.88542196991361</v>
      </c>
      <c r="O112" s="158">
        <f>2208.65-15.73</f>
        <v>2192.92</v>
      </c>
      <c r="P112" s="158">
        <v>958.39</v>
      </c>
      <c r="Q112" s="158">
        <f>1250.26-15.73</f>
        <v>1234.53</v>
      </c>
      <c r="R112" s="158">
        <f t="shared" si="12"/>
        <v>200</v>
      </c>
      <c r="S112" s="158">
        <f t="shared" si="13"/>
        <v>2392.92</v>
      </c>
      <c r="T112" s="169" t="s">
        <v>178</v>
      </c>
    </row>
    <row r="113" spans="1:20" ht="28.5" customHeight="1">
      <c r="A113" s="156">
        <v>203</v>
      </c>
      <c r="B113" s="157" t="s">
        <v>179</v>
      </c>
      <c r="C113" s="158">
        <f aca="true" t="shared" si="16" ref="C113:L113">C114+C118</f>
        <v>513.39</v>
      </c>
      <c r="D113" s="158">
        <f t="shared" si="16"/>
        <v>0</v>
      </c>
      <c r="E113" s="158">
        <f t="shared" si="15"/>
        <v>513.39</v>
      </c>
      <c r="F113" s="158">
        <f t="shared" si="16"/>
        <v>10</v>
      </c>
      <c r="G113" s="158">
        <f t="shared" si="16"/>
        <v>8.72</v>
      </c>
      <c r="H113" s="158">
        <f t="shared" si="16"/>
        <v>0</v>
      </c>
      <c r="I113" s="158">
        <f t="shared" si="16"/>
        <v>26.64</v>
      </c>
      <c r="J113" s="158">
        <f t="shared" si="16"/>
        <v>0</v>
      </c>
      <c r="K113" s="158">
        <f t="shared" si="16"/>
        <v>558.75</v>
      </c>
      <c r="L113" s="158">
        <v>0</v>
      </c>
      <c r="M113" s="158">
        <f t="shared" si="9"/>
        <v>558.75</v>
      </c>
      <c r="N113" s="158">
        <f t="shared" si="14"/>
        <v>8.835388301291424</v>
      </c>
      <c r="O113" s="158">
        <f aca="true" t="shared" si="17" ref="O113:S113">O114+O118</f>
        <v>558.75</v>
      </c>
      <c r="P113" s="158">
        <f t="shared" si="17"/>
        <v>268.12</v>
      </c>
      <c r="Q113" s="158">
        <f t="shared" si="17"/>
        <v>290.63</v>
      </c>
      <c r="R113" s="158">
        <f t="shared" si="17"/>
        <v>0</v>
      </c>
      <c r="S113" s="158">
        <f t="shared" si="17"/>
        <v>558.75</v>
      </c>
      <c r="T113" s="169"/>
    </row>
    <row r="114" spans="1:20" ht="28.5" customHeight="1">
      <c r="A114" s="156">
        <v>20306</v>
      </c>
      <c r="B114" s="157" t="s">
        <v>180</v>
      </c>
      <c r="C114" s="158">
        <v>138</v>
      </c>
      <c r="D114" s="158"/>
      <c r="E114" s="158">
        <f t="shared" si="15"/>
        <v>138</v>
      </c>
      <c r="F114" s="158">
        <v>0</v>
      </c>
      <c r="G114" s="158">
        <v>8.72</v>
      </c>
      <c r="H114" s="158">
        <v>0</v>
      </c>
      <c r="I114" s="158">
        <v>0</v>
      </c>
      <c r="J114" s="158">
        <f aca="true" t="shared" si="18" ref="J114:J177">L114-D114</f>
        <v>0</v>
      </c>
      <c r="K114" s="158">
        <v>146.72</v>
      </c>
      <c r="L114" s="158"/>
      <c r="M114" s="158">
        <f t="shared" si="9"/>
        <v>146.72</v>
      </c>
      <c r="N114" s="158">
        <f t="shared" si="14"/>
        <v>6.31884057971015</v>
      </c>
      <c r="O114" s="158">
        <v>146.72</v>
      </c>
      <c r="P114" s="158">
        <v>64.72</v>
      </c>
      <c r="Q114" s="158">
        <v>82</v>
      </c>
      <c r="R114" s="158">
        <f aca="true" t="shared" si="19" ref="R114:R119">L114</f>
        <v>0</v>
      </c>
      <c r="S114" s="158">
        <f aca="true" t="shared" si="20" ref="S114:S119">M114</f>
        <v>146.72</v>
      </c>
      <c r="T114" s="169"/>
    </row>
    <row r="115" spans="1:20" ht="28.5" customHeight="1">
      <c r="A115" s="156">
        <v>2030601</v>
      </c>
      <c r="B115" s="157" t="s">
        <v>181</v>
      </c>
      <c r="C115" s="158">
        <v>20</v>
      </c>
      <c r="D115" s="158"/>
      <c r="E115" s="158">
        <f t="shared" si="15"/>
        <v>20</v>
      </c>
      <c r="F115" s="158">
        <v>0</v>
      </c>
      <c r="G115" s="158">
        <v>0</v>
      </c>
      <c r="H115" s="158">
        <v>0</v>
      </c>
      <c r="I115" s="158">
        <v>0</v>
      </c>
      <c r="J115" s="158">
        <f t="shared" si="18"/>
        <v>0</v>
      </c>
      <c r="K115" s="158">
        <v>20</v>
      </c>
      <c r="L115" s="158"/>
      <c r="M115" s="158">
        <f t="shared" si="9"/>
        <v>20</v>
      </c>
      <c r="N115" s="158">
        <f t="shared" si="14"/>
        <v>0</v>
      </c>
      <c r="O115" s="158">
        <v>20</v>
      </c>
      <c r="P115" s="158">
        <v>20</v>
      </c>
      <c r="Q115" s="158">
        <v>0</v>
      </c>
      <c r="R115" s="158">
        <f t="shared" si="19"/>
        <v>0</v>
      </c>
      <c r="S115" s="158">
        <f t="shared" si="20"/>
        <v>20</v>
      </c>
      <c r="T115" s="169"/>
    </row>
    <row r="116" spans="1:20" ht="28.5" customHeight="1">
      <c r="A116" s="156">
        <v>2030603</v>
      </c>
      <c r="B116" s="157" t="s">
        <v>182</v>
      </c>
      <c r="C116" s="158">
        <v>78</v>
      </c>
      <c r="D116" s="158"/>
      <c r="E116" s="158">
        <f t="shared" si="15"/>
        <v>78</v>
      </c>
      <c r="F116" s="158">
        <v>0</v>
      </c>
      <c r="G116" s="158">
        <v>8.72</v>
      </c>
      <c r="H116" s="158">
        <v>0</v>
      </c>
      <c r="I116" s="158">
        <v>0</v>
      </c>
      <c r="J116" s="158">
        <f t="shared" si="18"/>
        <v>0</v>
      </c>
      <c r="K116" s="158">
        <v>86.72</v>
      </c>
      <c r="L116" s="158"/>
      <c r="M116" s="158">
        <f t="shared" si="9"/>
        <v>86.72</v>
      </c>
      <c r="N116" s="158">
        <f t="shared" si="14"/>
        <v>11.179487179487179</v>
      </c>
      <c r="O116" s="158">
        <v>86.72</v>
      </c>
      <c r="P116" s="158">
        <v>44.72</v>
      </c>
      <c r="Q116" s="158">
        <v>42</v>
      </c>
      <c r="R116" s="158">
        <f t="shared" si="19"/>
        <v>0</v>
      </c>
      <c r="S116" s="158">
        <f t="shared" si="20"/>
        <v>86.72</v>
      </c>
      <c r="T116" s="169" t="s">
        <v>183</v>
      </c>
    </row>
    <row r="117" spans="1:20" ht="28.5" customHeight="1">
      <c r="A117" s="156">
        <v>2030607</v>
      </c>
      <c r="B117" s="157" t="s">
        <v>184</v>
      </c>
      <c r="C117" s="158">
        <v>40</v>
      </c>
      <c r="D117" s="158"/>
      <c r="E117" s="158">
        <f t="shared" si="15"/>
        <v>40</v>
      </c>
      <c r="F117" s="158">
        <v>0</v>
      </c>
      <c r="G117" s="158">
        <v>0</v>
      </c>
      <c r="H117" s="158">
        <v>0</v>
      </c>
      <c r="I117" s="158">
        <v>0</v>
      </c>
      <c r="J117" s="158">
        <f t="shared" si="18"/>
        <v>0</v>
      </c>
      <c r="K117" s="158">
        <v>40</v>
      </c>
      <c r="L117" s="158"/>
      <c r="M117" s="158">
        <f t="shared" si="9"/>
        <v>40</v>
      </c>
      <c r="N117" s="158">
        <f t="shared" si="14"/>
        <v>0</v>
      </c>
      <c r="O117" s="158">
        <v>40</v>
      </c>
      <c r="P117" s="158">
        <v>0</v>
      </c>
      <c r="Q117" s="158">
        <v>40</v>
      </c>
      <c r="R117" s="158">
        <f t="shared" si="19"/>
        <v>0</v>
      </c>
      <c r="S117" s="158">
        <f t="shared" si="20"/>
        <v>40</v>
      </c>
      <c r="T117" s="169"/>
    </row>
    <row r="118" spans="1:20" ht="28.5" customHeight="1">
      <c r="A118" s="156">
        <v>20399</v>
      </c>
      <c r="B118" s="157" t="s">
        <v>185</v>
      </c>
      <c r="C118" s="158">
        <v>375.39</v>
      </c>
      <c r="D118" s="158"/>
      <c r="E118" s="158">
        <f t="shared" si="15"/>
        <v>375.39</v>
      </c>
      <c r="F118" s="158">
        <v>10</v>
      </c>
      <c r="G118" s="158">
        <v>0</v>
      </c>
      <c r="H118" s="158">
        <v>0</v>
      </c>
      <c r="I118" s="158">
        <v>26.64</v>
      </c>
      <c r="J118" s="158">
        <f t="shared" si="18"/>
        <v>0</v>
      </c>
      <c r="K118" s="158">
        <v>412.03</v>
      </c>
      <c r="L118" s="158"/>
      <c r="M118" s="158">
        <f t="shared" si="9"/>
        <v>412.03</v>
      </c>
      <c r="N118" s="158">
        <f t="shared" si="14"/>
        <v>9.76051573030714</v>
      </c>
      <c r="O118" s="158">
        <v>412.03</v>
      </c>
      <c r="P118" s="158">
        <v>203.4</v>
      </c>
      <c r="Q118" s="158">
        <v>208.63</v>
      </c>
      <c r="R118" s="158">
        <f t="shared" si="19"/>
        <v>0</v>
      </c>
      <c r="S118" s="158">
        <f t="shared" si="20"/>
        <v>412.03</v>
      </c>
      <c r="T118" s="169"/>
    </row>
    <row r="119" spans="1:20" ht="96.75" customHeight="1">
      <c r="A119" s="156">
        <v>2039901</v>
      </c>
      <c r="B119" s="157" t="s">
        <v>185</v>
      </c>
      <c r="C119" s="158">
        <v>375.39</v>
      </c>
      <c r="D119" s="158"/>
      <c r="E119" s="158">
        <f t="shared" si="15"/>
        <v>375.39</v>
      </c>
      <c r="F119" s="158">
        <v>10</v>
      </c>
      <c r="G119" s="158">
        <v>0</v>
      </c>
      <c r="H119" s="158">
        <v>0</v>
      </c>
      <c r="I119" s="158">
        <v>26.64</v>
      </c>
      <c r="J119" s="158">
        <f t="shared" si="18"/>
        <v>0</v>
      </c>
      <c r="K119" s="158">
        <v>412.03</v>
      </c>
      <c r="L119" s="158"/>
      <c r="M119" s="158">
        <f t="shared" si="9"/>
        <v>412.03</v>
      </c>
      <c r="N119" s="158">
        <f t="shared" si="14"/>
        <v>9.76051573030714</v>
      </c>
      <c r="O119" s="158">
        <v>412.03</v>
      </c>
      <c r="P119" s="158">
        <v>203.4</v>
      </c>
      <c r="Q119" s="158">
        <v>208.63</v>
      </c>
      <c r="R119" s="158">
        <f t="shared" si="19"/>
        <v>0</v>
      </c>
      <c r="S119" s="158">
        <f t="shared" si="20"/>
        <v>412.03</v>
      </c>
      <c r="T119" s="169" t="s">
        <v>186</v>
      </c>
    </row>
    <row r="120" spans="1:20" ht="28.5" customHeight="1">
      <c r="A120" s="156">
        <v>204</v>
      </c>
      <c r="B120" s="157" t="s">
        <v>187</v>
      </c>
      <c r="C120" s="158">
        <f aca="true" t="shared" si="21" ref="C120:I120">C121+C124+C127+C130+C133+C142</f>
        <v>2442.5299999999997</v>
      </c>
      <c r="D120" s="158">
        <f t="shared" si="21"/>
        <v>17</v>
      </c>
      <c r="E120" s="158">
        <f t="shared" si="15"/>
        <v>2459.5299999999997</v>
      </c>
      <c r="F120" s="158">
        <f t="shared" si="21"/>
        <v>428.45</v>
      </c>
      <c r="G120" s="158">
        <f t="shared" si="21"/>
        <v>-0.44</v>
      </c>
      <c r="H120" s="158">
        <f t="shared" si="21"/>
        <v>0</v>
      </c>
      <c r="I120" s="158">
        <f t="shared" si="21"/>
        <v>550.42</v>
      </c>
      <c r="J120" s="158">
        <f t="shared" si="18"/>
        <v>304.4865</v>
      </c>
      <c r="K120" s="158">
        <f aca="true" t="shared" si="22" ref="K120:S120">K121+K124+K127+K130+K133+K142</f>
        <v>3420.96</v>
      </c>
      <c r="L120" s="158">
        <v>321.4865</v>
      </c>
      <c r="M120" s="158">
        <f t="shared" si="9"/>
        <v>3742.4465</v>
      </c>
      <c r="N120" s="158">
        <f t="shared" si="14"/>
        <v>52.161042963493045</v>
      </c>
      <c r="O120" s="158">
        <f t="shared" si="22"/>
        <v>3420.96</v>
      </c>
      <c r="P120" s="158">
        <f t="shared" si="22"/>
        <v>1944.1100000000001</v>
      </c>
      <c r="Q120" s="158">
        <f t="shared" si="22"/>
        <v>1476.8500000000001</v>
      </c>
      <c r="R120" s="158">
        <f t="shared" si="22"/>
        <v>321.4865</v>
      </c>
      <c r="S120" s="158">
        <f t="shared" si="22"/>
        <v>3742.4465</v>
      </c>
      <c r="T120" s="169"/>
    </row>
    <row r="121" spans="1:20" ht="28.5" customHeight="1">
      <c r="A121" s="156">
        <v>20401</v>
      </c>
      <c r="B121" s="157" t="s">
        <v>188</v>
      </c>
      <c r="C121" s="158">
        <v>298.26</v>
      </c>
      <c r="D121" s="158">
        <v>17</v>
      </c>
      <c r="E121" s="158">
        <f t="shared" si="15"/>
        <v>315.26</v>
      </c>
      <c r="F121" s="158">
        <v>0</v>
      </c>
      <c r="G121" s="158">
        <v>0</v>
      </c>
      <c r="H121" s="158">
        <v>0</v>
      </c>
      <c r="I121" s="158">
        <v>15</v>
      </c>
      <c r="J121" s="158">
        <f t="shared" si="18"/>
        <v>53</v>
      </c>
      <c r="K121" s="158">
        <v>313.26</v>
      </c>
      <c r="L121" s="158">
        <v>70</v>
      </c>
      <c r="M121" s="158">
        <f t="shared" si="9"/>
        <v>383.26</v>
      </c>
      <c r="N121" s="158">
        <f t="shared" si="14"/>
        <v>21.56949819196854</v>
      </c>
      <c r="O121" s="158">
        <v>313.26</v>
      </c>
      <c r="P121" s="158">
        <v>188.13</v>
      </c>
      <c r="Q121" s="158">
        <v>125.13</v>
      </c>
      <c r="R121" s="158">
        <f aca="true" t="shared" si="23" ref="R121:R143">L121</f>
        <v>70</v>
      </c>
      <c r="S121" s="158">
        <f aca="true" t="shared" si="24" ref="S121:S143">M121</f>
        <v>383.26</v>
      </c>
      <c r="T121" s="169"/>
    </row>
    <row r="122" spans="1:20" ht="28.5" customHeight="1">
      <c r="A122" s="156">
        <v>2040102</v>
      </c>
      <c r="B122" s="157" t="s">
        <v>189</v>
      </c>
      <c r="C122" s="158"/>
      <c r="D122" s="158"/>
      <c r="E122" s="158"/>
      <c r="F122" s="158"/>
      <c r="G122" s="158"/>
      <c r="H122" s="158"/>
      <c r="I122" s="158"/>
      <c r="J122" s="158">
        <f t="shared" si="18"/>
        <v>53</v>
      </c>
      <c r="K122" s="158"/>
      <c r="L122" s="158">
        <v>53</v>
      </c>
      <c r="M122" s="158">
        <f t="shared" si="9"/>
        <v>53</v>
      </c>
      <c r="N122" s="158">
        <v>100</v>
      </c>
      <c r="O122" s="158"/>
      <c r="P122" s="158"/>
      <c r="Q122" s="158"/>
      <c r="R122" s="158">
        <f t="shared" si="23"/>
        <v>53</v>
      </c>
      <c r="S122" s="158">
        <f t="shared" si="24"/>
        <v>53</v>
      </c>
      <c r="T122" s="169" t="s">
        <v>137</v>
      </c>
    </row>
    <row r="123" spans="1:20" ht="58.5" customHeight="1">
      <c r="A123" s="156">
        <v>2040103</v>
      </c>
      <c r="B123" s="157" t="s">
        <v>190</v>
      </c>
      <c r="C123" s="158">
        <v>298.26</v>
      </c>
      <c r="D123" s="158">
        <v>17</v>
      </c>
      <c r="E123" s="158">
        <f aca="true" t="shared" si="25" ref="E123:E140">C123+D123</f>
        <v>315.26</v>
      </c>
      <c r="F123" s="158">
        <v>0</v>
      </c>
      <c r="G123" s="158">
        <v>0</v>
      </c>
      <c r="H123" s="158">
        <v>0</v>
      </c>
      <c r="I123" s="158">
        <v>15</v>
      </c>
      <c r="J123" s="158">
        <f t="shared" si="18"/>
        <v>0</v>
      </c>
      <c r="K123" s="158">
        <v>313.26</v>
      </c>
      <c r="L123" s="158">
        <v>17</v>
      </c>
      <c r="M123" s="158">
        <f t="shared" si="9"/>
        <v>330.26</v>
      </c>
      <c r="N123" s="158">
        <f aca="true" t="shared" si="26" ref="N123:N127">(M123/E123-1)*100</f>
        <v>4.7579775423459925</v>
      </c>
      <c r="O123" s="158">
        <v>313.26</v>
      </c>
      <c r="P123" s="158">
        <v>188.13</v>
      </c>
      <c r="Q123" s="158">
        <v>125.13</v>
      </c>
      <c r="R123" s="158">
        <f t="shared" si="23"/>
        <v>17</v>
      </c>
      <c r="S123" s="158">
        <f t="shared" si="24"/>
        <v>330.26</v>
      </c>
      <c r="T123" s="169" t="s">
        <v>191</v>
      </c>
    </row>
    <row r="124" spans="1:20" ht="28.5" customHeight="1">
      <c r="A124" s="156">
        <v>20402</v>
      </c>
      <c r="B124" s="157" t="s">
        <v>192</v>
      </c>
      <c r="C124" s="158">
        <v>1257.49</v>
      </c>
      <c r="D124" s="158"/>
      <c r="E124" s="158">
        <f t="shared" si="25"/>
        <v>1257.49</v>
      </c>
      <c r="F124" s="158">
        <v>334.45</v>
      </c>
      <c r="G124" s="158">
        <v>-0.44</v>
      </c>
      <c r="H124" s="158">
        <v>0</v>
      </c>
      <c r="I124" s="158">
        <v>135.84</v>
      </c>
      <c r="J124" s="158">
        <f t="shared" si="18"/>
        <v>0</v>
      </c>
      <c r="K124" s="158">
        <v>1727.34</v>
      </c>
      <c r="L124" s="158"/>
      <c r="M124" s="158">
        <f t="shared" si="9"/>
        <v>1727.34</v>
      </c>
      <c r="N124" s="158">
        <f t="shared" si="26"/>
        <v>37.36411422754853</v>
      </c>
      <c r="O124" s="158">
        <v>1727.34</v>
      </c>
      <c r="P124" s="158">
        <v>884.88</v>
      </c>
      <c r="Q124" s="158">
        <v>842.46</v>
      </c>
      <c r="R124" s="158">
        <f t="shared" si="23"/>
        <v>0</v>
      </c>
      <c r="S124" s="158">
        <f t="shared" si="24"/>
        <v>1727.34</v>
      </c>
      <c r="T124" s="169"/>
    </row>
    <row r="125" spans="1:20" ht="28.5" customHeight="1">
      <c r="A125" s="156">
        <v>2040204</v>
      </c>
      <c r="B125" s="157" t="s">
        <v>193</v>
      </c>
      <c r="C125" s="158">
        <v>20.82</v>
      </c>
      <c r="D125" s="158"/>
      <c r="E125" s="158">
        <f t="shared" si="25"/>
        <v>20.82</v>
      </c>
      <c r="F125" s="158">
        <v>0</v>
      </c>
      <c r="G125" s="158">
        <v>-0.44</v>
      </c>
      <c r="H125" s="158">
        <v>0</v>
      </c>
      <c r="I125" s="158">
        <v>0</v>
      </c>
      <c r="J125" s="158">
        <f t="shared" si="18"/>
        <v>0</v>
      </c>
      <c r="K125" s="158">
        <v>20.38</v>
      </c>
      <c r="L125" s="158"/>
      <c r="M125" s="158">
        <f t="shared" si="9"/>
        <v>20.38</v>
      </c>
      <c r="N125" s="158">
        <f t="shared" si="26"/>
        <v>-2.11335254562921</v>
      </c>
      <c r="O125" s="158">
        <v>20.38</v>
      </c>
      <c r="P125" s="158">
        <v>20.38</v>
      </c>
      <c r="Q125" s="158">
        <v>0</v>
      </c>
      <c r="R125" s="158">
        <f t="shared" si="23"/>
        <v>0</v>
      </c>
      <c r="S125" s="158">
        <f t="shared" si="24"/>
        <v>20.38</v>
      </c>
      <c r="T125" s="169" t="s">
        <v>194</v>
      </c>
    </row>
    <row r="126" spans="1:20" ht="124.5" customHeight="1">
      <c r="A126" s="156">
        <v>2040299</v>
      </c>
      <c r="B126" s="157" t="s">
        <v>195</v>
      </c>
      <c r="C126" s="158">
        <v>1236.67</v>
      </c>
      <c r="D126" s="158"/>
      <c r="E126" s="158">
        <f t="shared" si="25"/>
        <v>1236.67</v>
      </c>
      <c r="F126" s="158">
        <v>334.45</v>
      </c>
      <c r="G126" s="158">
        <v>0</v>
      </c>
      <c r="H126" s="158">
        <v>0</v>
      </c>
      <c r="I126" s="158">
        <v>135.84</v>
      </c>
      <c r="J126" s="158">
        <f t="shared" si="18"/>
        <v>0</v>
      </c>
      <c r="K126" s="158">
        <v>1706.96</v>
      </c>
      <c r="L126" s="158"/>
      <c r="M126" s="158">
        <f t="shared" si="9"/>
        <v>1706.96</v>
      </c>
      <c r="N126" s="158">
        <f t="shared" si="26"/>
        <v>38.028738467012225</v>
      </c>
      <c r="O126" s="158">
        <v>1706.96</v>
      </c>
      <c r="P126" s="158">
        <v>864.5</v>
      </c>
      <c r="Q126" s="158">
        <v>842.46</v>
      </c>
      <c r="R126" s="158">
        <f t="shared" si="23"/>
        <v>0</v>
      </c>
      <c r="S126" s="158">
        <f t="shared" si="24"/>
        <v>1706.96</v>
      </c>
      <c r="T126" s="169" t="s">
        <v>196</v>
      </c>
    </row>
    <row r="127" spans="1:20" ht="28.5" customHeight="1">
      <c r="A127" s="156">
        <v>20404</v>
      </c>
      <c r="B127" s="157" t="s">
        <v>197</v>
      </c>
      <c r="C127" s="158">
        <v>56</v>
      </c>
      <c r="D127" s="158"/>
      <c r="E127" s="158">
        <f t="shared" si="25"/>
        <v>56</v>
      </c>
      <c r="F127" s="158">
        <v>2</v>
      </c>
      <c r="G127" s="158">
        <v>0</v>
      </c>
      <c r="H127" s="158">
        <v>0</v>
      </c>
      <c r="I127" s="158">
        <v>137.8</v>
      </c>
      <c r="J127" s="158">
        <f t="shared" si="18"/>
        <v>0</v>
      </c>
      <c r="K127" s="158">
        <v>195.8</v>
      </c>
      <c r="L127" s="158"/>
      <c r="M127" s="158">
        <f t="shared" si="9"/>
        <v>195.8</v>
      </c>
      <c r="N127" s="158">
        <f t="shared" si="26"/>
        <v>249.64285714285714</v>
      </c>
      <c r="O127" s="158">
        <v>195.8</v>
      </c>
      <c r="P127" s="158">
        <v>173.22</v>
      </c>
      <c r="Q127" s="158">
        <v>22.58</v>
      </c>
      <c r="R127" s="158">
        <f t="shared" si="23"/>
        <v>0</v>
      </c>
      <c r="S127" s="158">
        <f t="shared" si="24"/>
        <v>195.8</v>
      </c>
      <c r="T127" s="169"/>
    </row>
    <row r="128" spans="1:20" ht="64.5" customHeight="1">
      <c r="A128" s="156">
        <v>2040401</v>
      </c>
      <c r="B128" s="157" t="s">
        <v>87</v>
      </c>
      <c r="C128" s="158">
        <v>0</v>
      </c>
      <c r="D128" s="158"/>
      <c r="E128" s="158">
        <f t="shared" si="25"/>
        <v>0</v>
      </c>
      <c r="F128" s="158">
        <v>2</v>
      </c>
      <c r="G128" s="158">
        <v>0</v>
      </c>
      <c r="H128" s="158">
        <v>0</v>
      </c>
      <c r="I128" s="158">
        <v>137.8</v>
      </c>
      <c r="J128" s="158">
        <f t="shared" si="18"/>
        <v>0</v>
      </c>
      <c r="K128" s="158">
        <v>139.8</v>
      </c>
      <c r="L128" s="158"/>
      <c r="M128" s="158">
        <f t="shared" si="9"/>
        <v>139.8</v>
      </c>
      <c r="N128" s="158">
        <v>100</v>
      </c>
      <c r="O128" s="158">
        <v>139.8</v>
      </c>
      <c r="P128" s="158">
        <v>137.8</v>
      </c>
      <c r="Q128" s="158">
        <v>2</v>
      </c>
      <c r="R128" s="158">
        <f t="shared" si="23"/>
        <v>0</v>
      </c>
      <c r="S128" s="158">
        <f t="shared" si="24"/>
        <v>139.8</v>
      </c>
      <c r="T128" s="169" t="s">
        <v>97</v>
      </c>
    </row>
    <row r="129" spans="1:20" ht="28.5" customHeight="1">
      <c r="A129" s="156">
        <v>2040499</v>
      </c>
      <c r="B129" s="157" t="s">
        <v>198</v>
      </c>
      <c r="C129" s="158">
        <v>56</v>
      </c>
      <c r="D129" s="158"/>
      <c r="E129" s="158">
        <f t="shared" si="25"/>
        <v>56</v>
      </c>
      <c r="F129" s="158">
        <v>0</v>
      </c>
      <c r="G129" s="158">
        <v>0</v>
      </c>
      <c r="H129" s="158">
        <v>0</v>
      </c>
      <c r="I129" s="158">
        <v>0</v>
      </c>
      <c r="J129" s="158">
        <f t="shared" si="18"/>
        <v>0</v>
      </c>
      <c r="K129" s="158">
        <v>56</v>
      </c>
      <c r="L129" s="158"/>
      <c r="M129" s="158">
        <f t="shared" si="9"/>
        <v>56</v>
      </c>
      <c r="N129" s="158">
        <f aca="true" t="shared" si="27" ref="N129:N140">(M129/E129-1)*100</f>
        <v>0</v>
      </c>
      <c r="O129" s="158">
        <v>56</v>
      </c>
      <c r="P129" s="158">
        <v>35.42</v>
      </c>
      <c r="Q129" s="158">
        <v>20.58</v>
      </c>
      <c r="R129" s="158">
        <f t="shared" si="23"/>
        <v>0</v>
      </c>
      <c r="S129" s="158">
        <f t="shared" si="24"/>
        <v>56</v>
      </c>
      <c r="T129" s="169"/>
    </row>
    <row r="130" spans="1:20" ht="28.5" customHeight="1">
      <c r="A130" s="156">
        <v>20405</v>
      </c>
      <c r="B130" s="157" t="s">
        <v>199</v>
      </c>
      <c r="C130" s="158">
        <v>85</v>
      </c>
      <c r="D130" s="158"/>
      <c r="E130" s="158">
        <f t="shared" si="25"/>
        <v>85</v>
      </c>
      <c r="F130" s="158">
        <v>2</v>
      </c>
      <c r="G130" s="158">
        <v>0</v>
      </c>
      <c r="H130" s="158">
        <v>0</v>
      </c>
      <c r="I130" s="158">
        <v>158.88</v>
      </c>
      <c r="J130" s="158">
        <f t="shared" si="18"/>
        <v>0</v>
      </c>
      <c r="K130" s="158">
        <v>245.88</v>
      </c>
      <c r="L130" s="158"/>
      <c r="M130" s="158">
        <f aca="true" t="shared" si="28" ref="M130:M140">K130+L130</f>
        <v>245.88</v>
      </c>
      <c r="N130" s="158">
        <f t="shared" si="27"/>
        <v>189.27058823529413</v>
      </c>
      <c r="O130" s="158">
        <v>245.88</v>
      </c>
      <c r="P130" s="158">
        <v>230.38</v>
      </c>
      <c r="Q130" s="158">
        <v>15.5</v>
      </c>
      <c r="R130" s="158">
        <f t="shared" si="23"/>
        <v>0</v>
      </c>
      <c r="S130" s="158">
        <f t="shared" si="24"/>
        <v>245.88</v>
      </c>
      <c r="T130" s="169"/>
    </row>
    <row r="131" spans="1:20" ht="66.75" customHeight="1">
      <c r="A131" s="156">
        <v>2040501</v>
      </c>
      <c r="B131" s="157" t="s">
        <v>87</v>
      </c>
      <c r="C131" s="158">
        <v>0</v>
      </c>
      <c r="D131" s="158"/>
      <c r="E131" s="158">
        <f t="shared" si="25"/>
        <v>0</v>
      </c>
      <c r="F131" s="158">
        <v>2</v>
      </c>
      <c r="G131" s="158">
        <v>0</v>
      </c>
      <c r="H131" s="158">
        <v>0</v>
      </c>
      <c r="I131" s="158">
        <v>158.88</v>
      </c>
      <c r="J131" s="158">
        <f t="shared" si="18"/>
        <v>0</v>
      </c>
      <c r="K131" s="158">
        <v>160.88</v>
      </c>
      <c r="L131" s="158"/>
      <c r="M131" s="158">
        <f t="shared" si="28"/>
        <v>160.88</v>
      </c>
      <c r="N131" s="158">
        <v>100</v>
      </c>
      <c r="O131" s="158">
        <v>160.88</v>
      </c>
      <c r="P131" s="158">
        <v>158.88</v>
      </c>
      <c r="Q131" s="158">
        <v>2</v>
      </c>
      <c r="R131" s="158">
        <f t="shared" si="23"/>
        <v>0</v>
      </c>
      <c r="S131" s="158">
        <f t="shared" si="24"/>
        <v>160.88</v>
      </c>
      <c r="T131" s="169" t="s">
        <v>97</v>
      </c>
    </row>
    <row r="132" spans="1:20" ht="28.5" customHeight="1">
      <c r="A132" s="156">
        <v>2040599</v>
      </c>
      <c r="B132" s="157" t="s">
        <v>200</v>
      </c>
      <c r="C132" s="158">
        <v>85</v>
      </c>
      <c r="D132" s="158"/>
      <c r="E132" s="158">
        <f t="shared" si="25"/>
        <v>85</v>
      </c>
      <c r="F132" s="158">
        <v>0</v>
      </c>
      <c r="G132" s="158">
        <v>0</v>
      </c>
      <c r="H132" s="158">
        <v>0</v>
      </c>
      <c r="I132" s="158">
        <v>0</v>
      </c>
      <c r="J132" s="158">
        <f t="shared" si="18"/>
        <v>0</v>
      </c>
      <c r="K132" s="158">
        <v>85</v>
      </c>
      <c r="L132" s="158"/>
      <c r="M132" s="158">
        <f t="shared" si="28"/>
        <v>85</v>
      </c>
      <c r="N132" s="158">
        <f t="shared" si="27"/>
        <v>0</v>
      </c>
      <c r="O132" s="158">
        <v>85</v>
      </c>
      <c r="P132" s="158">
        <v>71.5</v>
      </c>
      <c r="Q132" s="158">
        <v>13.5</v>
      </c>
      <c r="R132" s="158">
        <f t="shared" si="23"/>
        <v>0</v>
      </c>
      <c r="S132" s="158">
        <f t="shared" si="24"/>
        <v>85</v>
      </c>
      <c r="T132" s="169"/>
    </row>
    <row r="133" spans="1:20" ht="28.5" customHeight="1">
      <c r="A133" s="156">
        <v>20406</v>
      </c>
      <c r="B133" s="157" t="s">
        <v>201</v>
      </c>
      <c r="C133" s="158">
        <v>638.78</v>
      </c>
      <c r="D133" s="158"/>
      <c r="E133" s="158">
        <f t="shared" si="25"/>
        <v>638.78</v>
      </c>
      <c r="F133" s="158">
        <v>0</v>
      </c>
      <c r="G133" s="158">
        <v>0</v>
      </c>
      <c r="H133" s="158">
        <v>0</v>
      </c>
      <c r="I133" s="158">
        <v>102.9</v>
      </c>
      <c r="J133" s="158">
        <f t="shared" si="18"/>
        <v>181.4865</v>
      </c>
      <c r="K133" s="158">
        <v>741.68</v>
      </c>
      <c r="L133" s="158">
        <v>181.4865</v>
      </c>
      <c r="M133" s="158">
        <f t="shared" si="28"/>
        <v>923.1664999999999</v>
      </c>
      <c r="N133" s="158">
        <f t="shared" si="27"/>
        <v>44.520257365603165</v>
      </c>
      <c r="O133" s="158">
        <v>741.68</v>
      </c>
      <c r="P133" s="158">
        <v>427.5</v>
      </c>
      <c r="Q133" s="158">
        <v>314.18</v>
      </c>
      <c r="R133" s="158">
        <f t="shared" si="23"/>
        <v>181.4865</v>
      </c>
      <c r="S133" s="158">
        <f t="shared" si="24"/>
        <v>923.1664999999999</v>
      </c>
      <c r="T133" s="169"/>
    </row>
    <row r="134" spans="1:20" ht="51.75" customHeight="1">
      <c r="A134" s="156">
        <v>2040601</v>
      </c>
      <c r="B134" s="157" t="s">
        <v>87</v>
      </c>
      <c r="C134" s="158">
        <v>317.21</v>
      </c>
      <c r="D134" s="158"/>
      <c r="E134" s="158">
        <f t="shared" si="25"/>
        <v>317.21</v>
      </c>
      <c r="F134" s="158">
        <v>0</v>
      </c>
      <c r="G134" s="158">
        <v>0</v>
      </c>
      <c r="H134" s="158">
        <v>0</v>
      </c>
      <c r="I134" s="158">
        <v>100.35</v>
      </c>
      <c r="J134" s="158">
        <f t="shared" si="18"/>
        <v>0</v>
      </c>
      <c r="K134" s="158">
        <v>417.56</v>
      </c>
      <c r="L134" s="158"/>
      <c r="M134" s="158">
        <f t="shared" si="28"/>
        <v>417.56</v>
      </c>
      <c r="N134" s="158">
        <f t="shared" si="27"/>
        <v>31.63519435074558</v>
      </c>
      <c r="O134" s="158">
        <v>417.56</v>
      </c>
      <c r="P134" s="158">
        <v>263.37</v>
      </c>
      <c r="Q134" s="158">
        <v>154.19</v>
      </c>
      <c r="R134" s="158">
        <f t="shared" si="23"/>
        <v>0</v>
      </c>
      <c r="S134" s="158">
        <f t="shared" si="24"/>
        <v>417.56</v>
      </c>
      <c r="T134" s="169" t="s">
        <v>88</v>
      </c>
    </row>
    <row r="135" spans="1:20" ht="28.5" customHeight="1">
      <c r="A135" s="156">
        <v>2040602</v>
      </c>
      <c r="B135" s="157" t="s">
        <v>89</v>
      </c>
      <c r="C135" s="158">
        <v>45</v>
      </c>
      <c r="D135" s="158"/>
      <c r="E135" s="158">
        <f t="shared" si="25"/>
        <v>45</v>
      </c>
      <c r="F135" s="158">
        <v>0</v>
      </c>
      <c r="G135" s="158">
        <v>0</v>
      </c>
      <c r="H135" s="158">
        <v>0</v>
      </c>
      <c r="I135" s="158">
        <v>0</v>
      </c>
      <c r="J135" s="158">
        <f t="shared" si="18"/>
        <v>0</v>
      </c>
      <c r="K135" s="158">
        <v>45</v>
      </c>
      <c r="L135" s="158"/>
      <c r="M135" s="158">
        <f t="shared" si="28"/>
        <v>45</v>
      </c>
      <c r="N135" s="158">
        <f t="shared" si="27"/>
        <v>0</v>
      </c>
      <c r="O135" s="158">
        <v>45</v>
      </c>
      <c r="P135" s="158">
        <v>30.16</v>
      </c>
      <c r="Q135" s="158">
        <v>14.84</v>
      </c>
      <c r="R135" s="158">
        <f t="shared" si="23"/>
        <v>0</v>
      </c>
      <c r="S135" s="158">
        <f t="shared" si="24"/>
        <v>45</v>
      </c>
      <c r="T135" s="169"/>
    </row>
    <row r="136" spans="1:20" ht="28.5" customHeight="1">
      <c r="A136" s="156">
        <v>2040604</v>
      </c>
      <c r="B136" s="157" t="s">
        <v>202</v>
      </c>
      <c r="C136" s="158">
        <v>10</v>
      </c>
      <c r="D136" s="158"/>
      <c r="E136" s="158">
        <f t="shared" si="25"/>
        <v>10</v>
      </c>
      <c r="F136" s="158">
        <v>0</v>
      </c>
      <c r="G136" s="158">
        <v>0</v>
      </c>
      <c r="H136" s="158">
        <v>0</v>
      </c>
      <c r="I136" s="158">
        <v>0</v>
      </c>
      <c r="J136" s="158">
        <f t="shared" si="18"/>
        <v>34.542</v>
      </c>
      <c r="K136" s="158">
        <v>10</v>
      </c>
      <c r="L136" s="158">
        <v>34.542</v>
      </c>
      <c r="M136" s="158">
        <f t="shared" si="28"/>
        <v>44.542</v>
      </c>
      <c r="N136" s="158">
        <f t="shared" si="27"/>
        <v>345.42</v>
      </c>
      <c r="O136" s="158">
        <v>10</v>
      </c>
      <c r="P136" s="158">
        <v>10</v>
      </c>
      <c r="Q136" s="158">
        <v>0</v>
      </c>
      <c r="R136" s="158">
        <f t="shared" si="23"/>
        <v>34.542</v>
      </c>
      <c r="S136" s="158">
        <f t="shared" si="24"/>
        <v>44.542</v>
      </c>
      <c r="T136" s="169" t="s">
        <v>137</v>
      </c>
    </row>
    <row r="137" spans="1:20" ht="28.5" customHeight="1">
      <c r="A137" s="156">
        <v>2040605</v>
      </c>
      <c r="B137" s="157" t="s">
        <v>203</v>
      </c>
      <c r="C137" s="158">
        <v>10</v>
      </c>
      <c r="D137" s="158"/>
      <c r="E137" s="158">
        <f t="shared" si="25"/>
        <v>10</v>
      </c>
      <c r="F137" s="158">
        <v>0</v>
      </c>
      <c r="G137" s="158">
        <v>0</v>
      </c>
      <c r="H137" s="158">
        <v>0</v>
      </c>
      <c r="I137" s="158">
        <v>0</v>
      </c>
      <c r="J137" s="158">
        <f t="shared" si="18"/>
        <v>9.5</v>
      </c>
      <c r="K137" s="158">
        <v>10</v>
      </c>
      <c r="L137" s="158">
        <v>9.5</v>
      </c>
      <c r="M137" s="158">
        <f t="shared" si="28"/>
        <v>19.5</v>
      </c>
      <c r="N137" s="158">
        <f t="shared" si="27"/>
        <v>95</v>
      </c>
      <c r="O137" s="158">
        <v>10</v>
      </c>
      <c r="P137" s="158">
        <v>10</v>
      </c>
      <c r="Q137" s="158">
        <v>0</v>
      </c>
      <c r="R137" s="158">
        <f t="shared" si="23"/>
        <v>9.5</v>
      </c>
      <c r="S137" s="158">
        <f t="shared" si="24"/>
        <v>19.5</v>
      </c>
      <c r="T137" s="169" t="s">
        <v>137</v>
      </c>
    </row>
    <row r="138" spans="1:20" ht="28.5" customHeight="1">
      <c r="A138" s="156">
        <v>2040606</v>
      </c>
      <c r="B138" s="157" t="s">
        <v>204</v>
      </c>
      <c r="C138" s="158">
        <v>24.7</v>
      </c>
      <c r="D138" s="158"/>
      <c r="E138" s="158">
        <f t="shared" si="25"/>
        <v>24.7</v>
      </c>
      <c r="F138" s="158">
        <v>0</v>
      </c>
      <c r="G138" s="158">
        <v>0</v>
      </c>
      <c r="H138" s="158">
        <v>0</v>
      </c>
      <c r="I138" s="158">
        <v>0</v>
      </c>
      <c r="J138" s="158">
        <f t="shared" si="18"/>
        <v>0</v>
      </c>
      <c r="K138" s="158">
        <v>24.7</v>
      </c>
      <c r="L138" s="158"/>
      <c r="M138" s="158">
        <f t="shared" si="28"/>
        <v>24.7</v>
      </c>
      <c r="N138" s="158">
        <f t="shared" si="27"/>
        <v>0</v>
      </c>
      <c r="O138" s="158">
        <v>24.7</v>
      </c>
      <c r="P138" s="158">
        <v>11.48</v>
      </c>
      <c r="Q138" s="158">
        <v>13.22</v>
      </c>
      <c r="R138" s="158">
        <f t="shared" si="23"/>
        <v>0</v>
      </c>
      <c r="S138" s="158">
        <f t="shared" si="24"/>
        <v>24.7</v>
      </c>
      <c r="T138" s="169"/>
    </row>
    <row r="139" spans="1:20" ht="66" customHeight="1">
      <c r="A139" s="156">
        <v>2040607</v>
      </c>
      <c r="B139" s="157" t="s">
        <v>205</v>
      </c>
      <c r="C139" s="158">
        <v>73.87</v>
      </c>
      <c r="D139" s="158"/>
      <c r="E139" s="158">
        <f t="shared" si="25"/>
        <v>73.87</v>
      </c>
      <c r="F139" s="158">
        <v>0</v>
      </c>
      <c r="G139" s="158">
        <v>0</v>
      </c>
      <c r="H139" s="158">
        <v>0</v>
      </c>
      <c r="I139" s="158">
        <v>2.55</v>
      </c>
      <c r="J139" s="158">
        <f t="shared" si="18"/>
        <v>55.4694</v>
      </c>
      <c r="K139" s="158">
        <v>76.42</v>
      </c>
      <c r="L139" s="158">
        <v>55.4694</v>
      </c>
      <c r="M139" s="158">
        <f t="shared" si="28"/>
        <v>131.8894</v>
      </c>
      <c r="N139" s="158">
        <f t="shared" si="27"/>
        <v>78.54257479355621</v>
      </c>
      <c r="O139" s="158">
        <v>76.42</v>
      </c>
      <c r="P139" s="158">
        <v>46.73</v>
      </c>
      <c r="Q139" s="158">
        <v>29.69</v>
      </c>
      <c r="R139" s="158">
        <f t="shared" si="23"/>
        <v>55.4694</v>
      </c>
      <c r="S139" s="158">
        <f t="shared" si="24"/>
        <v>131.8894</v>
      </c>
      <c r="T139" s="169" t="s">
        <v>206</v>
      </c>
    </row>
    <row r="140" spans="1:20" ht="28.5" customHeight="1">
      <c r="A140" s="156">
        <v>2040610</v>
      </c>
      <c r="B140" s="157" t="s">
        <v>207</v>
      </c>
      <c r="C140" s="158">
        <v>158</v>
      </c>
      <c r="D140" s="158"/>
      <c r="E140" s="158">
        <f t="shared" si="25"/>
        <v>158</v>
      </c>
      <c r="F140" s="158">
        <v>0</v>
      </c>
      <c r="G140" s="158">
        <v>0</v>
      </c>
      <c r="H140" s="158">
        <v>0</v>
      </c>
      <c r="I140" s="158">
        <v>0</v>
      </c>
      <c r="J140" s="158">
        <f t="shared" si="18"/>
        <v>17.3751</v>
      </c>
      <c r="K140" s="158">
        <v>158</v>
      </c>
      <c r="L140" s="158">
        <v>17.3751</v>
      </c>
      <c r="M140" s="158">
        <f t="shared" si="28"/>
        <v>175.3751</v>
      </c>
      <c r="N140" s="158">
        <f t="shared" si="27"/>
        <v>10.996898734177218</v>
      </c>
      <c r="O140" s="158">
        <v>158</v>
      </c>
      <c r="P140" s="158">
        <v>55.76</v>
      </c>
      <c r="Q140" s="158">
        <v>102.24</v>
      </c>
      <c r="R140" s="158">
        <f t="shared" si="23"/>
        <v>17.3751</v>
      </c>
      <c r="S140" s="158">
        <f t="shared" si="24"/>
        <v>175.3751</v>
      </c>
      <c r="T140" s="169" t="s">
        <v>137</v>
      </c>
    </row>
    <row r="141" spans="1:20" ht="28.5" customHeight="1">
      <c r="A141" s="156">
        <v>2040699</v>
      </c>
      <c r="B141" s="157" t="s">
        <v>208</v>
      </c>
      <c r="C141" s="158"/>
      <c r="D141" s="158"/>
      <c r="E141" s="158"/>
      <c r="F141" s="158"/>
      <c r="G141" s="158"/>
      <c r="H141" s="158"/>
      <c r="I141" s="158"/>
      <c r="J141" s="158">
        <f t="shared" si="18"/>
        <v>64.6</v>
      </c>
      <c r="K141" s="158"/>
      <c r="L141" s="158">
        <v>64.6</v>
      </c>
      <c r="M141" s="158">
        <f>L141+K141</f>
        <v>64.6</v>
      </c>
      <c r="N141" s="158">
        <v>100</v>
      </c>
      <c r="O141" s="158"/>
      <c r="P141" s="158"/>
      <c r="Q141" s="158"/>
      <c r="R141" s="158">
        <f t="shared" si="23"/>
        <v>64.6</v>
      </c>
      <c r="S141" s="158">
        <f t="shared" si="24"/>
        <v>64.6</v>
      </c>
      <c r="T141" s="169" t="s">
        <v>137</v>
      </c>
    </row>
    <row r="142" spans="1:20" ht="28.5" customHeight="1">
      <c r="A142" s="156">
        <v>20499</v>
      </c>
      <c r="B142" s="157" t="s">
        <v>209</v>
      </c>
      <c r="C142" s="158">
        <v>107</v>
      </c>
      <c r="D142" s="158"/>
      <c r="E142" s="158">
        <f aca="true" t="shared" si="29" ref="E142:E161">C142+D142</f>
        <v>107</v>
      </c>
      <c r="F142" s="158">
        <v>90</v>
      </c>
      <c r="G142" s="158">
        <v>0</v>
      </c>
      <c r="H142" s="158">
        <v>0</v>
      </c>
      <c r="I142" s="158">
        <v>0</v>
      </c>
      <c r="J142" s="158">
        <f t="shared" si="18"/>
        <v>70</v>
      </c>
      <c r="K142" s="158">
        <v>197</v>
      </c>
      <c r="L142" s="158">
        <v>70</v>
      </c>
      <c r="M142" s="158">
        <f aca="true" t="shared" si="30" ref="M142:M172">K142+L142</f>
        <v>267</v>
      </c>
      <c r="N142" s="158">
        <f aca="true" t="shared" si="31" ref="N142:N161">(M142/E142-1)*100</f>
        <v>149.53271028037386</v>
      </c>
      <c r="O142" s="158">
        <v>197</v>
      </c>
      <c r="P142" s="158">
        <v>40</v>
      </c>
      <c r="Q142" s="158">
        <v>157</v>
      </c>
      <c r="R142" s="158">
        <f t="shared" si="23"/>
        <v>70</v>
      </c>
      <c r="S142" s="158">
        <f t="shared" si="24"/>
        <v>267</v>
      </c>
      <c r="T142" s="169"/>
    </row>
    <row r="143" spans="1:20" ht="28.5" customHeight="1">
      <c r="A143" s="156">
        <v>2049901</v>
      </c>
      <c r="B143" s="157" t="s">
        <v>209</v>
      </c>
      <c r="C143" s="158">
        <v>107</v>
      </c>
      <c r="D143" s="158"/>
      <c r="E143" s="158">
        <f t="shared" si="29"/>
        <v>107</v>
      </c>
      <c r="F143" s="158">
        <v>90</v>
      </c>
      <c r="G143" s="158">
        <v>0</v>
      </c>
      <c r="H143" s="158">
        <v>0</v>
      </c>
      <c r="I143" s="158">
        <v>0</v>
      </c>
      <c r="J143" s="158">
        <f t="shared" si="18"/>
        <v>70</v>
      </c>
      <c r="K143" s="158">
        <v>197</v>
      </c>
      <c r="L143" s="158">
        <v>70</v>
      </c>
      <c r="M143" s="158">
        <f t="shared" si="30"/>
        <v>267</v>
      </c>
      <c r="N143" s="158">
        <f t="shared" si="31"/>
        <v>149.53271028037386</v>
      </c>
      <c r="O143" s="158">
        <v>197</v>
      </c>
      <c r="P143" s="158">
        <v>40</v>
      </c>
      <c r="Q143" s="158">
        <v>157</v>
      </c>
      <c r="R143" s="158">
        <f t="shared" si="23"/>
        <v>70</v>
      </c>
      <c r="S143" s="158">
        <f t="shared" si="24"/>
        <v>267</v>
      </c>
      <c r="T143" s="169" t="s">
        <v>137</v>
      </c>
    </row>
    <row r="144" spans="1:20" ht="28.5" customHeight="1">
      <c r="A144" s="156">
        <v>205</v>
      </c>
      <c r="B144" s="157" t="s">
        <v>210</v>
      </c>
      <c r="C144" s="158">
        <f aca="true" t="shared" si="32" ref="C144:I144">C145+C147+C153+C156+C158+C160</f>
        <v>38780.37</v>
      </c>
      <c r="D144" s="158">
        <f t="shared" si="32"/>
        <v>669.8</v>
      </c>
      <c r="E144" s="158">
        <f t="shared" si="29"/>
        <v>39450.170000000006</v>
      </c>
      <c r="F144" s="158">
        <f t="shared" si="32"/>
        <v>1398.8300000000002</v>
      </c>
      <c r="G144" s="158">
        <f t="shared" si="32"/>
        <v>-2.3</v>
      </c>
      <c r="H144" s="158">
        <f t="shared" si="32"/>
        <v>0</v>
      </c>
      <c r="I144" s="158">
        <f t="shared" si="32"/>
        <v>1291.5899999999997</v>
      </c>
      <c r="J144" s="158">
        <f t="shared" si="18"/>
        <v>4341.729999999999</v>
      </c>
      <c r="K144" s="158">
        <f aca="true" t="shared" si="33" ref="K144:Q144">K145+K147+K153+K156+K158+K160</f>
        <v>41468.490000000005</v>
      </c>
      <c r="L144" s="158">
        <v>5011.529999999999</v>
      </c>
      <c r="M144" s="158">
        <f t="shared" si="30"/>
        <v>46480.020000000004</v>
      </c>
      <c r="N144" s="158">
        <f t="shared" si="31"/>
        <v>17.819568331391224</v>
      </c>
      <c r="O144" s="158">
        <f t="shared" si="33"/>
        <v>41468.490000000005</v>
      </c>
      <c r="P144" s="158">
        <f t="shared" si="33"/>
        <v>22051.93</v>
      </c>
      <c r="Q144" s="158">
        <f t="shared" si="33"/>
        <v>19416.559999999998</v>
      </c>
      <c r="R144" s="158">
        <f>R145+R147+R153+R156+R158+R160+R162</f>
        <v>5011.529999999999</v>
      </c>
      <c r="S144" s="158">
        <f>S145+S147+S153+S156+S158+S160+S162</f>
        <v>46480.020000000004</v>
      </c>
      <c r="T144" s="169"/>
    </row>
    <row r="145" spans="1:20" ht="28.5" customHeight="1">
      <c r="A145" s="156">
        <v>20501</v>
      </c>
      <c r="B145" s="157" t="s">
        <v>211</v>
      </c>
      <c r="C145" s="158">
        <v>495.32</v>
      </c>
      <c r="D145" s="158"/>
      <c r="E145" s="158">
        <f t="shared" si="29"/>
        <v>495.32</v>
      </c>
      <c r="F145" s="158">
        <v>3.03</v>
      </c>
      <c r="G145" s="158">
        <v>0</v>
      </c>
      <c r="H145" s="158">
        <v>0</v>
      </c>
      <c r="I145" s="158">
        <v>27.33</v>
      </c>
      <c r="J145" s="158">
        <f t="shared" si="18"/>
        <v>0</v>
      </c>
      <c r="K145" s="158">
        <v>525.68</v>
      </c>
      <c r="L145" s="158"/>
      <c r="M145" s="158">
        <f t="shared" si="30"/>
        <v>525.68</v>
      </c>
      <c r="N145" s="158">
        <f t="shared" si="31"/>
        <v>6.129370911733822</v>
      </c>
      <c r="O145" s="158">
        <v>525.68</v>
      </c>
      <c r="P145" s="158">
        <v>331.8</v>
      </c>
      <c r="Q145" s="158">
        <v>193.88</v>
      </c>
      <c r="R145" s="158">
        <f aca="true" t="shared" si="34" ref="R145:R163">L145</f>
        <v>0</v>
      </c>
      <c r="S145" s="158">
        <f aca="true" t="shared" si="35" ref="S145:S163">M145</f>
        <v>525.68</v>
      </c>
      <c r="T145" s="169"/>
    </row>
    <row r="146" spans="1:20" ht="64.5" customHeight="1">
      <c r="A146" s="156">
        <v>2050101</v>
      </c>
      <c r="B146" s="157" t="s">
        <v>87</v>
      </c>
      <c r="C146" s="158">
        <v>495.32</v>
      </c>
      <c r="D146" s="158"/>
      <c r="E146" s="158">
        <f t="shared" si="29"/>
        <v>495.32</v>
      </c>
      <c r="F146" s="158">
        <v>3.03</v>
      </c>
      <c r="G146" s="158">
        <v>0</v>
      </c>
      <c r="H146" s="158">
        <v>0</v>
      </c>
      <c r="I146" s="158">
        <v>27.33</v>
      </c>
      <c r="J146" s="158">
        <f t="shared" si="18"/>
        <v>0</v>
      </c>
      <c r="K146" s="158">
        <v>525.68</v>
      </c>
      <c r="L146" s="158"/>
      <c r="M146" s="158">
        <f t="shared" si="30"/>
        <v>525.68</v>
      </c>
      <c r="N146" s="158">
        <f t="shared" si="31"/>
        <v>6.129370911733822</v>
      </c>
      <c r="O146" s="158">
        <v>525.68</v>
      </c>
      <c r="P146" s="158">
        <v>331.8</v>
      </c>
      <c r="Q146" s="158">
        <v>193.88</v>
      </c>
      <c r="R146" s="158">
        <f t="shared" si="34"/>
        <v>0</v>
      </c>
      <c r="S146" s="158">
        <f t="shared" si="35"/>
        <v>525.68</v>
      </c>
      <c r="T146" s="169" t="s">
        <v>97</v>
      </c>
    </row>
    <row r="147" spans="1:20" ht="28.5" customHeight="1">
      <c r="A147" s="156">
        <v>20502</v>
      </c>
      <c r="B147" s="157" t="s">
        <v>212</v>
      </c>
      <c r="C147" s="158">
        <v>34586.03</v>
      </c>
      <c r="D147" s="158">
        <f>SUM(D148:D152)</f>
        <v>641</v>
      </c>
      <c r="E147" s="158">
        <f t="shared" si="29"/>
        <v>35227.03</v>
      </c>
      <c r="F147" s="158">
        <v>1403.25</v>
      </c>
      <c r="G147" s="158">
        <v>0</v>
      </c>
      <c r="H147" s="158">
        <v>0</v>
      </c>
      <c r="I147" s="158">
        <v>1181.2</v>
      </c>
      <c r="J147" s="158">
        <f t="shared" si="18"/>
        <v>4217.07</v>
      </c>
      <c r="K147" s="158">
        <v>37170.48</v>
      </c>
      <c r="L147" s="158">
        <v>4858.07</v>
      </c>
      <c r="M147" s="158">
        <f t="shared" si="30"/>
        <v>42028.55</v>
      </c>
      <c r="N147" s="158">
        <f t="shared" si="31"/>
        <v>19.30767368126125</v>
      </c>
      <c r="O147" s="158">
        <v>37170.48</v>
      </c>
      <c r="P147" s="158">
        <v>20825.61</v>
      </c>
      <c r="Q147" s="158">
        <v>16344.87</v>
      </c>
      <c r="R147" s="158">
        <f t="shared" si="34"/>
        <v>4858.07</v>
      </c>
      <c r="S147" s="158">
        <f t="shared" si="35"/>
        <v>42028.55</v>
      </c>
      <c r="T147" s="169"/>
    </row>
    <row r="148" spans="1:20" ht="82.5" customHeight="1">
      <c r="A148" s="156">
        <v>2050201</v>
      </c>
      <c r="B148" s="157" t="s">
        <v>213</v>
      </c>
      <c r="C148" s="158">
        <v>310.37</v>
      </c>
      <c r="D148" s="158">
        <v>196</v>
      </c>
      <c r="E148" s="158">
        <f t="shared" si="29"/>
        <v>506.37</v>
      </c>
      <c r="F148" s="158">
        <v>109.57</v>
      </c>
      <c r="G148" s="158">
        <v>0</v>
      </c>
      <c r="H148" s="158">
        <v>0</v>
      </c>
      <c r="I148" s="158">
        <v>16.5</v>
      </c>
      <c r="J148" s="158">
        <f t="shared" si="18"/>
        <v>263.4283</v>
      </c>
      <c r="K148" s="158">
        <v>436.44</v>
      </c>
      <c r="L148" s="158">
        <v>459.4283</v>
      </c>
      <c r="M148" s="158">
        <f t="shared" si="30"/>
        <v>895.8683</v>
      </c>
      <c r="N148" s="158">
        <f t="shared" si="31"/>
        <v>76.91970298398402</v>
      </c>
      <c r="O148" s="158">
        <v>436.44</v>
      </c>
      <c r="P148" s="158">
        <v>196.62</v>
      </c>
      <c r="Q148" s="158">
        <v>239.82</v>
      </c>
      <c r="R148" s="158">
        <f t="shared" si="34"/>
        <v>459.4283</v>
      </c>
      <c r="S148" s="158">
        <f t="shared" si="35"/>
        <v>895.8683</v>
      </c>
      <c r="T148" s="169" t="s">
        <v>214</v>
      </c>
    </row>
    <row r="149" spans="1:20" ht="66.75" customHeight="1">
      <c r="A149" s="156">
        <v>2050202</v>
      </c>
      <c r="B149" s="157" t="s">
        <v>215</v>
      </c>
      <c r="C149" s="158">
        <v>16350.6</v>
      </c>
      <c r="D149" s="158">
        <v>4</v>
      </c>
      <c r="E149" s="158">
        <f t="shared" si="29"/>
        <v>16354.6</v>
      </c>
      <c r="F149" s="158">
        <v>373</v>
      </c>
      <c r="G149" s="158">
        <v>0</v>
      </c>
      <c r="H149" s="158">
        <v>0</v>
      </c>
      <c r="I149" s="158">
        <v>-46.50999999999976</v>
      </c>
      <c r="J149" s="158">
        <f t="shared" si="18"/>
        <v>2501.3223</v>
      </c>
      <c r="K149" s="158">
        <v>16677.09</v>
      </c>
      <c r="L149" s="158">
        <v>2505.3223</v>
      </c>
      <c r="M149" s="158">
        <f t="shared" si="30"/>
        <v>19182.4123</v>
      </c>
      <c r="N149" s="158">
        <f t="shared" si="31"/>
        <v>17.290623433162523</v>
      </c>
      <c r="O149" s="158">
        <v>16677.09</v>
      </c>
      <c r="P149" s="158">
        <v>9281.65</v>
      </c>
      <c r="Q149" s="158">
        <v>7395.44</v>
      </c>
      <c r="R149" s="158">
        <f t="shared" si="34"/>
        <v>2505.3223</v>
      </c>
      <c r="S149" s="158">
        <f t="shared" si="35"/>
        <v>19182.4123</v>
      </c>
      <c r="T149" s="169" t="s">
        <v>216</v>
      </c>
    </row>
    <row r="150" spans="1:20" ht="90.75" customHeight="1">
      <c r="A150" s="156">
        <v>2050203</v>
      </c>
      <c r="B150" s="157" t="s">
        <v>217</v>
      </c>
      <c r="C150" s="158">
        <v>6196.25</v>
      </c>
      <c r="D150" s="158"/>
      <c r="E150" s="158">
        <f t="shared" si="29"/>
        <v>6196.25</v>
      </c>
      <c r="F150" s="158">
        <v>227.75</v>
      </c>
      <c r="G150" s="158">
        <v>0</v>
      </c>
      <c r="H150" s="158">
        <v>0</v>
      </c>
      <c r="I150" s="158">
        <v>481.06</v>
      </c>
      <c r="J150" s="158">
        <f t="shared" si="18"/>
        <v>1093.1794</v>
      </c>
      <c r="K150" s="158">
        <v>6905.06</v>
      </c>
      <c r="L150" s="158">
        <v>1093.1794</v>
      </c>
      <c r="M150" s="158">
        <f t="shared" si="30"/>
        <v>7998.2394</v>
      </c>
      <c r="N150" s="158">
        <f t="shared" si="31"/>
        <v>29.081935041355656</v>
      </c>
      <c r="O150" s="158">
        <v>6905.06</v>
      </c>
      <c r="P150" s="158">
        <v>4283.08</v>
      </c>
      <c r="Q150" s="158">
        <v>2621.98</v>
      </c>
      <c r="R150" s="158">
        <f t="shared" si="34"/>
        <v>1093.1794</v>
      </c>
      <c r="S150" s="158">
        <f t="shared" si="35"/>
        <v>7998.2394</v>
      </c>
      <c r="T150" s="169" t="s">
        <v>218</v>
      </c>
    </row>
    <row r="151" spans="1:20" ht="61.5" customHeight="1">
      <c r="A151" s="156">
        <v>2050204</v>
      </c>
      <c r="B151" s="157" t="s">
        <v>219</v>
      </c>
      <c r="C151" s="158">
        <v>9688.51</v>
      </c>
      <c r="D151" s="158"/>
      <c r="E151" s="158">
        <f t="shared" si="29"/>
        <v>9688.51</v>
      </c>
      <c r="F151" s="158">
        <v>689.93</v>
      </c>
      <c r="G151" s="158">
        <v>0</v>
      </c>
      <c r="H151" s="158">
        <v>0</v>
      </c>
      <c r="I151" s="158">
        <v>702.65</v>
      </c>
      <c r="J151" s="158">
        <f t="shared" si="18"/>
        <v>142.9575</v>
      </c>
      <c r="K151" s="158">
        <v>11081.09</v>
      </c>
      <c r="L151" s="158">
        <v>142.9575</v>
      </c>
      <c r="M151" s="158">
        <f t="shared" si="30"/>
        <v>11224.0475</v>
      </c>
      <c r="N151" s="158">
        <f t="shared" si="31"/>
        <v>15.849057285382372</v>
      </c>
      <c r="O151" s="158">
        <v>11081.09</v>
      </c>
      <c r="P151" s="158">
        <v>6752.27</v>
      </c>
      <c r="Q151" s="158">
        <v>4328.82</v>
      </c>
      <c r="R151" s="158">
        <f t="shared" si="34"/>
        <v>142.9575</v>
      </c>
      <c r="S151" s="158">
        <f t="shared" si="35"/>
        <v>11224.0475</v>
      </c>
      <c r="T151" s="169" t="s">
        <v>126</v>
      </c>
    </row>
    <row r="152" spans="1:20" ht="174" customHeight="1">
      <c r="A152" s="156">
        <v>2050299</v>
      </c>
      <c r="B152" s="157" t="s">
        <v>220</v>
      </c>
      <c r="C152" s="158">
        <v>2040.3</v>
      </c>
      <c r="D152" s="158">
        <v>441</v>
      </c>
      <c r="E152" s="158">
        <f t="shared" si="29"/>
        <v>2481.3</v>
      </c>
      <c r="F152" s="158">
        <v>3</v>
      </c>
      <c r="G152" s="158">
        <v>0</v>
      </c>
      <c r="H152" s="158">
        <v>0</v>
      </c>
      <c r="I152" s="158">
        <v>27.5</v>
      </c>
      <c r="J152" s="158">
        <f t="shared" si="18"/>
        <v>216.1825</v>
      </c>
      <c r="K152" s="158">
        <v>2070.8</v>
      </c>
      <c r="L152" s="158">
        <v>657.1825</v>
      </c>
      <c r="M152" s="158">
        <f t="shared" si="30"/>
        <v>2727.9825</v>
      </c>
      <c r="N152" s="158">
        <f t="shared" si="31"/>
        <v>9.941663644057552</v>
      </c>
      <c r="O152" s="158">
        <v>2070.8</v>
      </c>
      <c r="P152" s="158">
        <v>311.99</v>
      </c>
      <c r="Q152" s="158">
        <v>1758.81</v>
      </c>
      <c r="R152" s="158">
        <f t="shared" si="34"/>
        <v>657.1825</v>
      </c>
      <c r="S152" s="158">
        <f t="shared" si="35"/>
        <v>2727.9825</v>
      </c>
      <c r="T152" s="169" t="s">
        <v>221</v>
      </c>
    </row>
    <row r="153" spans="1:20" ht="28.5" customHeight="1">
      <c r="A153" s="156">
        <v>20503</v>
      </c>
      <c r="B153" s="157" t="s">
        <v>222</v>
      </c>
      <c r="C153" s="158">
        <v>690.75</v>
      </c>
      <c r="D153" s="158"/>
      <c r="E153" s="158">
        <f t="shared" si="29"/>
        <v>690.75</v>
      </c>
      <c r="F153" s="158">
        <v>-1.36</v>
      </c>
      <c r="G153" s="158">
        <v>-2.3</v>
      </c>
      <c r="H153" s="158">
        <v>0</v>
      </c>
      <c r="I153" s="158">
        <v>83.06</v>
      </c>
      <c r="J153" s="158">
        <f t="shared" si="18"/>
        <v>9.23</v>
      </c>
      <c r="K153" s="158">
        <v>770.15</v>
      </c>
      <c r="L153" s="158">
        <v>9.23</v>
      </c>
      <c r="M153" s="158">
        <f t="shared" si="30"/>
        <v>779.38</v>
      </c>
      <c r="N153" s="158">
        <f t="shared" si="31"/>
        <v>12.83098081795151</v>
      </c>
      <c r="O153" s="158">
        <v>770.15</v>
      </c>
      <c r="P153" s="158">
        <v>425.08</v>
      </c>
      <c r="Q153" s="158">
        <v>345.07</v>
      </c>
      <c r="R153" s="158">
        <f t="shared" si="34"/>
        <v>9.23</v>
      </c>
      <c r="S153" s="158">
        <f t="shared" si="35"/>
        <v>779.38</v>
      </c>
      <c r="T153" s="169"/>
    </row>
    <row r="154" spans="1:20" ht="81.75" customHeight="1">
      <c r="A154" s="156">
        <v>2050302</v>
      </c>
      <c r="B154" s="157" t="s">
        <v>223</v>
      </c>
      <c r="C154" s="158">
        <v>684.75</v>
      </c>
      <c r="D154" s="158"/>
      <c r="E154" s="158">
        <f t="shared" si="29"/>
        <v>684.75</v>
      </c>
      <c r="F154" s="158">
        <v>-1.36</v>
      </c>
      <c r="G154" s="158">
        <v>0</v>
      </c>
      <c r="H154" s="158">
        <v>0</v>
      </c>
      <c r="I154" s="158">
        <v>83.06</v>
      </c>
      <c r="J154" s="158">
        <f t="shared" si="18"/>
        <v>9.233</v>
      </c>
      <c r="K154" s="158">
        <v>766.45</v>
      </c>
      <c r="L154" s="158">
        <v>9.233</v>
      </c>
      <c r="M154" s="158">
        <f t="shared" si="30"/>
        <v>775.683</v>
      </c>
      <c r="N154" s="158">
        <f t="shared" si="31"/>
        <v>13.27973713033954</v>
      </c>
      <c r="O154" s="158">
        <v>766.45</v>
      </c>
      <c r="P154" s="158">
        <v>423.72</v>
      </c>
      <c r="Q154" s="158">
        <v>342.73</v>
      </c>
      <c r="R154" s="158">
        <f t="shared" si="34"/>
        <v>9.233</v>
      </c>
      <c r="S154" s="158">
        <f t="shared" si="35"/>
        <v>775.683</v>
      </c>
      <c r="T154" s="169" t="s">
        <v>224</v>
      </c>
    </row>
    <row r="155" spans="1:20" ht="28.5" customHeight="1">
      <c r="A155" s="156">
        <v>2050399</v>
      </c>
      <c r="B155" s="157" t="s">
        <v>225</v>
      </c>
      <c r="C155" s="158">
        <v>6</v>
      </c>
      <c r="D155" s="158"/>
      <c r="E155" s="158">
        <f t="shared" si="29"/>
        <v>6</v>
      </c>
      <c r="F155" s="158">
        <v>0</v>
      </c>
      <c r="G155" s="158">
        <v>-2.3</v>
      </c>
      <c r="H155" s="158">
        <v>0</v>
      </c>
      <c r="I155" s="158">
        <v>0</v>
      </c>
      <c r="J155" s="158">
        <f t="shared" si="18"/>
        <v>0</v>
      </c>
      <c r="K155" s="158">
        <v>3.7</v>
      </c>
      <c r="L155" s="158"/>
      <c r="M155" s="158">
        <f t="shared" si="30"/>
        <v>3.7</v>
      </c>
      <c r="N155" s="158">
        <f t="shared" si="31"/>
        <v>-38.33333333333333</v>
      </c>
      <c r="O155" s="158">
        <v>3.7</v>
      </c>
      <c r="P155" s="158">
        <v>1.36</v>
      </c>
      <c r="Q155" s="158">
        <v>2.34</v>
      </c>
      <c r="R155" s="158">
        <f t="shared" si="34"/>
        <v>0</v>
      </c>
      <c r="S155" s="158">
        <f t="shared" si="35"/>
        <v>3.7</v>
      </c>
      <c r="T155" s="169" t="s">
        <v>194</v>
      </c>
    </row>
    <row r="156" spans="1:20" ht="28.5" customHeight="1">
      <c r="A156" s="156">
        <v>20507</v>
      </c>
      <c r="B156" s="157" t="s">
        <v>226</v>
      </c>
      <c r="C156" s="158">
        <v>21.69</v>
      </c>
      <c r="D156" s="158">
        <v>28.8</v>
      </c>
      <c r="E156" s="158">
        <f t="shared" si="29"/>
        <v>50.49</v>
      </c>
      <c r="F156" s="158">
        <v>-6.09</v>
      </c>
      <c r="G156" s="158">
        <v>0</v>
      </c>
      <c r="H156" s="158">
        <v>0</v>
      </c>
      <c r="I156" s="158">
        <v>0</v>
      </c>
      <c r="J156" s="158">
        <f t="shared" si="18"/>
        <v>14.52</v>
      </c>
      <c r="K156" s="158">
        <v>15.6</v>
      </c>
      <c r="L156" s="158">
        <v>43.32</v>
      </c>
      <c r="M156" s="158">
        <f t="shared" si="30"/>
        <v>58.92</v>
      </c>
      <c r="N156" s="158">
        <f t="shared" si="31"/>
        <v>16.696375519904926</v>
      </c>
      <c r="O156" s="158">
        <v>15.6</v>
      </c>
      <c r="P156" s="158">
        <v>15.6</v>
      </c>
      <c r="Q156" s="158">
        <v>0</v>
      </c>
      <c r="R156" s="158">
        <f t="shared" si="34"/>
        <v>43.32</v>
      </c>
      <c r="S156" s="158">
        <f t="shared" si="35"/>
        <v>58.92</v>
      </c>
      <c r="T156" s="169"/>
    </row>
    <row r="157" spans="1:20" ht="40.5" customHeight="1">
      <c r="A157" s="156">
        <v>2050701</v>
      </c>
      <c r="B157" s="157" t="s">
        <v>227</v>
      </c>
      <c r="C157" s="158">
        <v>21.69</v>
      </c>
      <c r="D157" s="158">
        <v>28.8</v>
      </c>
      <c r="E157" s="158">
        <f t="shared" si="29"/>
        <v>50.49</v>
      </c>
      <c r="F157" s="158">
        <v>-6.09</v>
      </c>
      <c r="G157" s="158">
        <v>0</v>
      </c>
      <c r="H157" s="158">
        <v>0</v>
      </c>
      <c r="I157" s="158">
        <v>0</v>
      </c>
      <c r="J157" s="158">
        <f t="shared" si="18"/>
        <v>14.52</v>
      </c>
      <c r="K157" s="158">
        <v>15.6</v>
      </c>
      <c r="L157" s="158">
        <v>43.32</v>
      </c>
      <c r="M157" s="158">
        <f t="shared" si="30"/>
        <v>58.92</v>
      </c>
      <c r="N157" s="158">
        <f t="shared" si="31"/>
        <v>16.696375519904926</v>
      </c>
      <c r="O157" s="158">
        <v>15.6</v>
      </c>
      <c r="P157" s="158">
        <v>15.6</v>
      </c>
      <c r="Q157" s="158">
        <v>0</v>
      </c>
      <c r="R157" s="158">
        <f t="shared" si="34"/>
        <v>43.32</v>
      </c>
      <c r="S157" s="158">
        <f t="shared" si="35"/>
        <v>58.92</v>
      </c>
      <c r="T157" s="169" t="s">
        <v>228</v>
      </c>
    </row>
    <row r="158" spans="1:20" ht="28.5" customHeight="1">
      <c r="A158" s="156">
        <v>20508</v>
      </c>
      <c r="B158" s="157" t="s">
        <v>229</v>
      </c>
      <c r="C158" s="158">
        <v>13</v>
      </c>
      <c r="D158" s="158"/>
      <c r="E158" s="158">
        <f t="shared" si="29"/>
        <v>13</v>
      </c>
      <c r="F158" s="158">
        <v>0</v>
      </c>
      <c r="G158" s="158">
        <v>0</v>
      </c>
      <c r="H158" s="158">
        <v>0</v>
      </c>
      <c r="I158" s="158">
        <v>0</v>
      </c>
      <c r="J158" s="158">
        <f t="shared" si="18"/>
        <v>0</v>
      </c>
      <c r="K158" s="158">
        <v>13</v>
      </c>
      <c r="L158" s="158"/>
      <c r="M158" s="158">
        <f t="shared" si="30"/>
        <v>13</v>
      </c>
      <c r="N158" s="158">
        <f t="shared" si="31"/>
        <v>0</v>
      </c>
      <c r="O158" s="158">
        <v>13</v>
      </c>
      <c r="P158" s="158">
        <v>10</v>
      </c>
      <c r="Q158" s="158">
        <v>3</v>
      </c>
      <c r="R158" s="158">
        <f t="shared" si="34"/>
        <v>0</v>
      </c>
      <c r="S158" s="158">
        <f t="shared" si="35"/>
        <v>13</v>
      </c>
      <c r="T158" s="169"/>
    </row>
    <row r="159" spans="1:20" ht="28.5" customHeight="1">
      <c r="A159" s="156">
        <v>2050803</v>
      </c>
      <c r="B159" s="157" t="s">
        <v>230</v>
      </c>
      <c r="C159" s="158">
        <v>13</v>
      </c>
      <c r="D159" s="158"/>
      <c r="E159" s="158">
        <f t="shared" si="29"/>
        <v>13</v>
      </c>
      <c r="F159" s="158">
        <v>0</v>
      </c>
      <c r="G159" s="158">
        <v>0</v>
      </c>
      <c r="H159" s="158">
        <v>0</v>
      </c>
      <c r="I159" s="158">
        <v>0</v>
      </c>
      <c r="J159" s="158">
        <f t="shared" si="18"/>
        <v>0</v>
      </c>
      <c r="K159" s="158">
        <v>13</v>
      </c>
      <c r="L159" s="158"/>
      <c r="M159" s="158">
        <f t="shared" si="30"/>
        <v>13</v>
      </c>
      <c r="N159" s="158">
        <f t="shared" si="31"/>
        <v>0</v>
      </c>
      <c r="O159" s="158">
        <v>13</v>
      </c>
      <c r="P159" s="158">
        <v>10</v>
      </c>
      <c r="Q159" s="158">
        <v>3</v>
      </c>
      <c r="R159" s="158">
        <f t="shared" si="34"/>
        <v>0</v>
      </c>
      <c r="S159" s="158">
        <f t="shared" si="35"/>
        <v>13</v>
      </c>
      <c r="T159" s="169"/>
    </row>
    <row r="160" spans="1:20" ht="28.5" customHeight="1">
      <c r="A160" s="156">
        <v>20509</v>
      </c>
      <c r="B160" s="157" t="s">
        <v>231</v>
      </c>
      <c r="C160" s="158">
        <v>2973.58</v>
      </c>
      <c r="D160" s="158"/>
      <c r="E160" s="158">
        <f t="shared" si="29"/>
        <v>2973.58</v>
      </c>
      <c r="F160" s="158">
        <v>0</v>
      </c>
      <c r="G160" s="158">
        <v>0</v>
      </c>
      <c r="H160" s="158">
        <v>0</v>
      </c>
      <c r="I160" s="158">
        <v>-2.2737367544323206E-13</v>
      </c>
      <c r="J160" s="158">
        <f t="shared" si="18"/>
        <v>0</v>
      </c>
      <c r="K160" s="158">
        <v>2973.58</v>
      </c>
      <c r="L160" s="158"/>
      <c r="M160" s="158">
        <f t="shared" si="30"/>
        <v>2973.58</v>
      </c>
      <c r="N160" s="158">
        <f t="shared" si="31"/>
        <v>0</v>
      </c>
      <c r="O160" s="158">
        <v>2973.58</v>
      </c>
      <c r="P160" s="158">
        <v>443.84</v>
      </c>
      <c r="Q160" s="158">
        <v>2529.74</v>
      </c>
      <c r="R160" s="158">
        <f t="shared" si="34"/>
        <v>0</v>
      </c>
      <c r="S160" s="158">
        <f t="shared" si="35"/>
        <v>2973.58</v>
      </c>
      <c r="T160" s="169"/>
    </row>
    <row r="161" spans="1:20" ht="39" customHeight="1">
      <c r="A161" s="156">
        <v>2050999</v>
      </c>
      <c r="B161" s="157" t="s">
        <v>232</v>
      </c>
      <c r="C161" s="158">
        <v>2973.58</v>
      </c>
      <c r="D161" s="158"/>
      <c r="E161" s="158">
        <f t="shared" si="29"/>
        <v>2973.58</v>
      </c>
      <c r="F161" s="158">
        <v>0</v>
      </c>
      <c r="G161" s="158">
        <v>0</v>
      </c>
      <c r="H161" s="158">
        <v>0</v>
      </c>
      <c r="I161" s="158">
        <v>-2.2737367544323206E-13</v>
      </c>
      <c r="J161" s="158">
        <f t="shared" si="18"/>
        <v>0</v>
      </c>
      <c r="K161" s="158">
        <v>2973.58</v>
      </c>
      <c r="L161" s="158"/>
      <c r="M161" s="158">
        <f t="shared" si="30"/>
        <v>2973.58</v>
      </c>
      <c r="N161" s="158">
        <f t="shared" si="31"/>
        <v>0</v>
      </c>
      <c r="O161" s="158">
        <v>2973.58</v>
      </c>
      <c r="P161" s="158">
        <v>443.84</v>
      </c>
      <c r="Q161" s="158">
        <v>2529.74</v>
      </c>
      <c r="R161" s="158">
        <f t="shared" si="34"/>
        <v>0</v>
      </c>
      <c r="S161" s="158">
        <f t="shared" si="35"/>
        <v>2973.58</v>
      </c>
      <c r="T161" s="169"/>
    </row>
    <row r="162" spans="1:20" ht="28.5" customHeight="1">
      <c r="A162" s="156">
        <v>20599</v>
      </c>
      <c r="B162" s="157" t="s">
        <v>233</v>
      </c>
      <c r="C162" s="158"/>
      <c r="D162" s="158"/>
      <c r="E162" s="158"/>
      <c r="F162" s="158"/>
      <c r="G162" s="158"/>
      <c r="H162" s="158"/>
      <c r="I162" s="158"/>
      <c r="J162" s="158">
        <f t="shared" si="18"/>
        <v>100.91</v>
      </c>
      <c r="K162" s="158"/>
      <c r="L162" s="158">
        <v>100.91</v>
      </c>
      <c r="M162" s="158">
        <f t="shared" si="30"/>
        <v>100.91</v>
      </c>
      <c r="N162" s="158">
        <v>100</v>
      </c>
      <c r="O162" s="158"/>
      <c r="P162" s="158"/>
      <c r="Q162" s="158"/>
      <c r="R162" s="158">
        <f t="shared" si="34"/>
        <v>100.91</v>
      </c>
      <c r="S162" s="158">
        <f t="shared" si="35"/>
        <v>100.91</v>
      </c>
      <c r="T162" s="169"/>
    </row>
    <row r="163" spans="1:20" ht="28.5" customHeight="1">
      <c r="A163" s="156">
        <v>2059999</v>
      </c>
      <c r="B163" s="157" t="s">
        <v>233</v>
      </c>
      <c r="C163" s="158"/>
      <c r="D163" s="158"/>
      <c r="E163" s="158"/>
      <c r="F163" s="158"/>
      <c r="G163" s="158"/>
      <c r="H163" s="158"/>
      <c r="I163" s="158"/>
      <c r="J163" s="158">
        <f t="shared" si="18"/>
        <v>100.91</v>
      </c>
      <c r="K163" s="158"/>
      <c r="L163" s="158">
        <v>100.91</v>
      </c>
      <c r="M163" s="158">
        <f t="shared" si="30"/>
        <v>100.91</v>
      </c>
      <c r="N163" s="158">
        <v>100</v>
      </c>
      <c r="O163" s="158"/>
      <c r="P163" s="158"/>
      <c r="Q163" s="158"/>
      <c r="R163" s="158">
        <f t="shared" si="34"/>
        <v>100.91</v>
      </c>
      <c r="S163" s="158">
        <f t="shared" si="35"/>
        <v>100.91</v>
      </c>
      <c r="T163" s="169" t="s">
        <v>137</v>
      </c>
    </row>
    <row r="164" spans="1:20" ht="28.5" customHeight="1">
      <c r="A164" s="156">
        <v>206</v>
      </c>
      <c r="B164" s="157" t="s">
        <v>234</v>
      </c>
      <c r="C164" s="158">
        <f aca="true" t="shared" si="36" ref="C164:I164">C165+C167+C172+C175</f>
        <v>2243.7999999999997</v>
      </c>
      <c r="D164" s="158">
        <f t="shared" si="36"/>
        <v>0</v>
      </c>
      <c r="E164" s="158">
        <f aca="true" t="shared" si="37" ref="E164:E169">C164+D164</f>
        <v>2243.7999999999997</v>
      </c>
      <c r="F164" s="158">
        <f t="shared" si="36"/>
        <v>-129.62</v>
      </c>
      <c r="G164" s="158">
        <f t="shared" si="36"/>
        <v>0</v>
      </c>
      <c r="H164" s="158">
        <f t="shared" si="36"/>
        <v>-929.34</v>
      </c>
      <c r="I164" s="158">
        <f t="shared" si="36"/>
        <v>3.9</v>
      </c>
      <c r="J164" s="158">
        <f t="shared" si="18"/>
        <v>32.6536000000001</v>
      </c>
      <c r="K164" s="158">
        <f aca="true" t="shared" si="38" ref="K164:Q164">K165+K167+K172+K175</f>
        <v>1188.74</v>
      </c>
      <c r="L164" s="158">
        <v>32.6536000000001</v>
      </c>
      <c r="M164" s="158">
        <f t="shared" si="30"/>
        <v>1221.3936</v>
      </c>
      <c r="N164" s="158">
        <f aca="true" t="shared" si="39" ref="N164:N168">(M164/E164-1)*100</f>
        <v>-45.56584365808003</v>
      </c>
      <c r="O164" s="158">
        <f t="shared" si="38"/>
        <v>1188.74</v>
      </c>
      <c r="P164" s="158">
        <f t="shared" si="38"/>
        <v>1158.36</v>
      </c>
      <c r="Q164" s="158">
        <f t="shared" si="38"/>
        <v>30.38</v>
      </c>
      <c r="R164" s="158">
        <f>R165+R167+R172+R175+R170</f>
        <v>32.6536000000001</v>
      </c>
      <c r="S164" s="158">
        <f>S165+S167+S172+S175+S170</f>
        <v>1221.3936</v>
      </c>
      <c r="T164" s="169"/>
    </row>
    <row r="165" spans="1:20" ht="28.5" customHeight="1">
      <c r="A165" s="156">
        <v>20601</v>
      </c>
      <c r="B165" s="157" t="s">
        <v>235</v>
      </c>
      <c r="C165" s="158">
        <v>0.6</v>
      </c>
      <c r="D165" s="158"/>
      <c r="E165" s="158">
        <f t="shared" si="37"/>
        <v>0.6</v>
      </c>
      <c r="F165" s="158">
        <v>1.5</v>
      </c>
      <c r="G165" s="158">
        <v>0</v>
      </c>
      <c r="H165" s="158">
        <v>0</v>
      </c>
      <c r="I165" s="158">
        <v>3.9</v>
      </c>
      <c r="J165" s="158">
        <f t="shared" si="18"/>
        <v>0</v>
      </c>
      <c r="K165" s="158">
        <v>6</v>
      </c>
      <c r="L165" s="158"/>
      <c r="M165" s="158">
        <f t="shared" si="30"/>
        <v>6</v>
      </c>
      <c r="N165" s="158">
        <f t="shared" si="39"/>
        <v>900</v>
      </c>
      <c r="O165" s="158">
        <v>6</v>
      </c>
      <c r="P165" s="158">
        <v>4.5</v>
      </c>
      <c r="Q165" s="158">
        <v>1.5</v>
      </c>
      <c r="R165" s="158">
        <f aca="true" t="shared" si="40" ref="R165:R177">L165</f>
        <v>0</v>
      </c>
      <c r="S165" s="158">
        <f aca="true" t="shared" si="41" ref="S165:S177">M165</f>
        <v>6</v>
      </c>
      <c r="T165" s="169"/>
    </row>
    <row r="166" spans="1:20" ht="39" customHeight="1">
      <c r="A166" s="156">
        <v>2060101</v>
      </c>
      <c r="B166" s="157" t="s">
        <v>87</v>
      </c>
      <c r="C166" s="158">
        <v>0.6</v>
      </c>
      <c r="D166" s="158"/>
      <c r="E166" s="158">
        <f t="shared" si="37"/>
        <v>0.6</v>
      </c>
      <c r="F166" s="158">
        <v>1.5</v>
      </c>
      <c r="G166" s="158">
        <v>0</v>
      </c>
      <c r="H166" s="158">
        <v>0</v>
      </c>
      <c r="I166" s="158">
        <v>3.9</v>
      </c>
      <c r="J166" s="158">
        <f t="shared" si="18"/>
        <v>0</v>
      </c>
      <c r="K166" s="158">
        <v>6</v>
      </c>
      <c r="L166" s="158"/>
      <c r="M166" s="158">
        <f t="shared" si="30"/>
        <v>6</v>
      </c>
      <c r="N166" s="158">
        <f t="shared" si="39"/>
        <v>900</v>
      </c>
      <c r="O166" s="158">
        <v>6</v>
      </c>
      <c r="P166" s="158">
        <v>4.5</v>
      </c>
      <c r="Q166" s="158">
        <v>1.5</v>
      </c>
      <c r="R166" s="158">
        <f t="shared" si="40"/>
        <v>0</v>
      </c>
      <c r="S166" s="158">
        <f t="shared" si="41"/>
        <v>6</v>
      </c>
      <c r="T166" s="169" t="s">
        <v>236</v>
      </c>
    </row>
    <row r="167" spans="1:20" ht="28.5" customHeight="1">
      <c r="A167" s="156">
        <v>20604</v>
      </c>
      <c r="B167" s="157" t="s">
        <v>237</v>
      </c>
      <c r="C167" s="158">
        <v>1800</v>
      </c>
      <c r="D167" s="158"/>
      <c r="E167" s="158">
        <f t="shared" si="37"/>
        <v>1800</v>
      </c>
      <c r="F167" s="158">
        <v>-71.12</v>
      </c>
      <c r="G167" s="158">
        <v>0</v>
      </c>
      <c r="H167" s="158">
        <v>-929.34</v>
      </c>
      <c r="I167" s="158">
        <v>0</v>
      </c>
      <c r="J167" s="158">
        <f t="shared" si="18"/>
        <v>-306.3463999999999</v>
      </c>
      <c r="K167" s="158">
        <v>799.54</v>
      </c>
      <c r="L167" s="158">
        <v>-306.3463999999999</v>
      </c>
      <c r="M167" s="158">
        <f t="shared" si="30"/>
        <v>493.19360000000006</v>
      </c>
      <c r="N167" s="158">
        <f t="shared" si="39"/>
        <v>-72.60035555555555</v>
      </c>
      <c r="O167" s="158">
        <v>799.54</v>
      </c>
      <c r="P167" s="158">
        <v>770.66</v>
      </c>
      <c r="Q167" s="158">
        <v>28.88</v>
      </c>
      <c r="R167" s="158">
        <f t="shared" si="40"/>
        <v>-306.3463999999999</v>
      </c>
      <c r="S167" s="158">
        <f t="shared" si="41"/>
        <v>493.19360000000006</v>
      </c>
      <c r="T167" s="169"/>
    </row>
    <row r="168" spans="1:20" ht="111" customHeight="1">
      <c r="A168" s="156">
        <v>2060403</v>
      </c>
      <c r="B168" s="157" t="s">
        <v>238</v>
      </c>
      <c r="C168" s="158">
        <v>1800</v>
      </c>
      <c r="D168" s="158"/>
      <c r="E168" s="158">
        <f t="shared" si="37"/>
        <v>1800</v>
      </c>
      <c r="F168" s="158">
        <v>-51.12</v>
      </c>
      <c r="G168" s="158">
        <v>0</v>
      </c>
      <c r="H168" s="158">
        <v>-929.34</v>
      </c>
      <c r="I168" s="158">
        <v>0</v>
      </c>
      <c r="J168" s="158">
        <f t="shared" si="18"/>
        <v>-173.99639999999994</v>
      </c>
      <c r="K168" s="158">
        <v>819.54</v>
      </c>
      <c r="L168" s="158">
        <v>-173.99639999999994</v>
      </c>
      <c r="M168" s="158">
        <f t="shared" si="30"/>
        <v>645.5436</v>
      </c>
      <c r="N168" s="158">
        <f t="shared" si="39"/>
        <v>-64.13646666666666</v>
      </c>
      <c r="O168" s="158">
        <v>819.54</v>
      </c>
      <c r="P168" s="158">
        <v>770.66</v>
      </c>
      <c r="Q168" s="158">
        <v>48.88</v>
      </c>
      <c r="R168" s="158">
        <f t="shared" si="40"/>
        <v>-173.99639999999994</v>
      </c>
      <c r="S168" s="158">
        <f t="shared" si="41"/>
        <v>645.5436</v>
      </c>
      <c r="T168" s="169" t="s">
        <v>239</v>
      </c>
    </row>
    <row r="169" spans="1:20" ht="94.5" customHeight="1">
      <c r="A169" s="156">
        <v>2060499</v>
      </c>
      <c r="B169" s="157" t="s">
        <v>240</v>
      </c>
      <c r="C169" s="158">
        <v>0</v>
      </c>
      <c r="D169" s="158"/>
      <c r="E169" s="158">
        <f t="shared" si="37"/>
        <v>0</v>
      </c>
      <c r="F169" s="158">
        <v>-20</v>
      </c>
      <c r="G169" s="158">
        <v>0</v>
      </c>
      <c r="H169" s="158">
        <v>0</v>
      </c>
      <c r="I169" s="158">
        <v>0</v>
      </c>
      <c r="J169" s="158">
        <f t="shared" si="18"/>
        <v>-132.35</v>
      </c>
      <c r="K169" s="158">
        <v>-20</v>
      </c>
      <c r="L169" s="158">
        <v>-132.35</v>
      </c>
      <c r="M169" s="158">
        <f t="shared" si="30"/>
        <v>-152.35</v>
      </c>
      <c r="N169" s="158">
        <v>100</v>
      </c>
      <c r="O169" s="158">
        <v>-20</v>
      </c>
      <c r="P169" s="158">
        <v>0</v>
      </c>
      <c r="Q169" s="158">
        <v>-20</v>
      </c>
      <c r="R169" s="158">
        <f t="shared" si="40"/>
        <v>-132.35</v>
      </c>
      <c r="S169" s="158">
        <f t="shared" si="41"/>
        <v>-152.35</v>
      </c>
      <c r="T169" s="169" t="s">
        <v>241</v>
      </c>
    </row>
    <row r="170" spans="1:20" ht="28.5" customHeight="1">
      <c r="A170" s="156">
        <v>20606</v>
      </c>
      <c r="B170" s="157" t="s">
        <v>242</v>
      </c>
      <c r="C170" s="158"/>
      <c r="D170" s="158"/>
      <c r="E170" s="158"/>
      <c r="F170" s="158"/>
      <c r="G170" s="158"/>
      <c r="H170" s="158"/>
      <c r="I170" s="158"/>
      <c r="J170" s="158">
        <f t="shared" si="18"/>
        <v>3</v>
      </c>
      <c r="K170" s="158"/>
      <c r="L170" s="158">
        <v>3</v>
      </c>
      <c r="M170" s="158">
        <f t="shared" si="30"/>
        <v>3</v>
      </c>
      <c r="N170" s="158">
        <v>100</v>
      </c>
      <c r="O170" s="158"/>
      <c r="P170" s="158"/>
      <c r="Q170" s="158"/>
      <c r="R170" s="158">
        <f t="shared" si="40"/>
        <v>3</v>
      </c>
      <c r="S170" s="158">
        <f t="shared" si="41"/>
        <v>3</v>
      </c>
      <c r="T170" s="169"/>
    </row>
    <row r="171" spans="1:20" ht="28.5" customHeight="1">
      <c r="A171" s="156">
        <v>2060602</v>
      </c>
      <c r="B171" s="157" t="s">
        <v>243</v>
      </c>
      <c r="C171" s="158"/>
      <c r="D171" s="158"/>
      <c r="E171" s="158"/>
      <c r="F171" s="158"/>
      <c r="G171" s="158"/>
      <c r="H171" s="158"/>
      <c r="I171" s="158"/>
      <c r="J171" s="158">
        <f t="shared" si="18"/>
        <v>3</v>
      </c>
      <c r="K171" s="158"/>
      <c r="L171" s="158">
        <v>3</v>
      </c>
      <c r="M171" s="158">
        <f t="shared" si="30"/>
        <v>3</v>
      </c>
      <c r="N171" s="158">
        <v>100</v>
      </c>
      <c r="O171" s="158"/>
      <c r="P171" s="158"/>
      <c r="Q171" s="158"/>
      <c r="R171" s="158">
        <f t="shared" si="40"/>
        <v>3</v>
      </c>
      <c r="S171" s="158">
        <f t="shared" si="41"/>
        <v>3</v>
      </c>
      <c r="T171" s="169" t="s">
        <v>137</v>
      </c>
    </row>
    <row r="172" spans="1:20" ht="28.5" customHeight="1">
      <c r="A172" s="156">
        <v>20607</v>
      </c>
      <c r="B172" s="157" t="s">
        <v>244</v>
      </c>
      <c r="C172" s="158">
        <v>14</v>
      </c>
      <c r="D172" s="158"/>
      <c r="E172" s="158">
        <f aca="true" t="shared" si="42" ref="E172:E175">C172+D172</f>
        <v>14</v>
      </c>
      <c r="F172" s="158">
        <v>0</v>
      </c>
      <c r="G172" s="158">
        <v>0</v>
      </c>
      <c r="H172" s="158">
        <v>0</v>
      </c>
      <c r="I172" s="158">
        <v>0</v>
      </c>
      <c r="J172" s="158">
        <f t="shared" si="18"/>
        <v>10</v>
      </c>
      <c r="K172" s="158">
        <v>14</v>
      </c>
      <c r="L172" s="158">
        <v>10</v>
      </c>
      <c r="M172" s="158">
        <f t="shared" si="30"/>
        <v>24</v>
      </c>
      <c r="N172" s="158">
        <f aca="true" t="shared" si="43" ref="N172:N175">(M172/E172-1)*100</f>
        <v>71.42857142857142</v>
      </c>
      <c r="O172" s="158">
        <v>14</v>
      </c>
      <c r="P172" s="158">
        <v>14</v>
      </c>
      <c r="Q172" s="158">
        <v>0</v>
      </c>
      <c r="R172" s="158">
        <f t="shared" si="40"/>
        <v>10</v>
      </c>
      <c r="S172" s="158">
        <f t="shared" si="41"/>
        <v>24</v>
      </c>
      <c r="T172" s="169"/>
    </row>
    <row r="173" spans="1:20" ht="28.5" customHeight="1">
      <c r="A173" s="156">
        <v>2060702</v>
      </c>
      <c r="B173" s="157" t="s">
        <v>245</v>
      </c>
      <c r="C173" s="158"/>
      <c r="D173" s="158"/>
      <c r="E173" s="158"/>
      <c r="F173" s="158"/>
      <c r="G173" s="158"/>
      <c r="H173" s="158"/>
      <c r="I173" s="158"/>
      <c r="J173" s="158">
        <f t="shared" si="18"/>
        <v>10</v>
      </c>
      <c r="K173" s="158"/>
      <c r="L173" s="158">
        <v>10</v>
      </c>
      <c r="M173" s="158">
        <f>L173+K173</f>
        <v>10</v>
      </c>
      <c r="N173" s="158">
        <v>100</v>
      </c>
      <c r="O173" s="158"/>
      <c r="P173" s="158"/>
      <c r="Q173" s="158"/>
      <c r="R173" s="158">
        <f t="shared" si="40"/>
        <v>10</v>
      </c>
      <c r="S173" s="158">
        <f t="shared" si="41"/>
        <v>10</v>
      </c>
      <c r="T173" s="169" t="s">
        <v>137</v>
      </c>
    </row>
    <row r="174" spans="1:20" ht="28.5" customHeight="1">
      <c r="A174" s="156">
        <v>2060799</v>
      </c>
      <c r="B174" s="157" t="s">
        <v>246</v>
      </c>
      <c r="C174" s="158">
        <v>14</v>
      </c>
      <c r="D174" s="158"/>
      <c r="E174" s="158">
        <f t="shared" si="42"/>
        <v>14</v>
      </c>
      <c r="F174" s="158">
        <v>0</v>
      </c>
      <c r="G174" s="158">
        <v>0</v>
      </c>
      <c r="H174" s="158">
        <v>0</v>
      </c>
      <c r="I174" s="158">
        <v>0</v>
      </c>
      <c r="J174" s="158">
        <f t="shared" si="18"/>
        <v>0</v>
      </c>
      <c r="K174" s="158">
        <v>14</v>
      </c>
      <c r="L174" s="158"/>
      <c r="M174" s="158">
        <f aca="true" t="shared" si="44" ref="M174:M198">K174+L174</f>
        <v>14</v>
      </c>
      <c r="N174" s="158">
        <f t="shared" si="43"/>
        <v>0</v>
      </c>
      <c r="O174" s="158">
        <v>14</v>
      </c>
      <c r="P174" s="158">
        <v>14</v>
      </c>
      <c r="Q174" s="158">
        <v>0</v>
      </c>
      <c r="R174" s="158">
        <f t="shared" si="40"/>
        <v>0</v>
      </c>
      <c r="S174" s="158">
        <f t="shared" si="41"/>
        <v>14</v>
      </c>
      <c r="T174" s="169"/>
    </row>
    <row r="175" spans="1:20" ht="28.5" customHeight="1">
      <c r="A175" s="156">
        <v>20699</v>
      </c>
      <c r="B175" s="157" t="s">
        <v>247</v>
      </c>
      <c r="C175" s="158">
        <v>429.2</v>
      </c>
      <c r="D175" s="158"/>
      <c r="E175" s="158">
        <f t="shared" si="42"/>
        <v>429.2</v>
      </c>
      <c r="F175" s="158">
        <v>-60</v>
      </c>
      <c r="G175" s="158">
        <v>0</v>
      </c>
      <c r="H175" s="158">
        <v>0</v>
      </c>
      <c r="I175" s="158">
        <v>0</v>
      </c>
      <c r="J175" s="158">
        <f t="shared" si="18"/>
        <v>326</v>
      </c>
      <c r="K175" s="158">
        <v>369.2</v>
      </c>
      <c r="L175" s="158">
        <v>326</v>
      </c>
      <c r="M175" s="158">
        <f t="shared" si="44"/>
        <v>695.2</v>
      </c>
      <c r="N175" s="158">
        <f t="shared" si="43"/>
        <v>61.975768872320614</v>
      </c>
      <c r="O175" s="158">
        <v>369.2</v>
      </c>
      <c r="P175" s="158">
        <v>369.2</v>
      </c>
      <c r="Q175" s="158">
        <v>0</v>
      </c>
      <c r="R175" s="158">
        <f t="shared" si="40"/>
        <v>326</v>
      </c>
      <c r="S175" s="158">
        <f t="shared" si="41"/>
        <v>695.2</v>
      </c>
      <c r="T175" s="169"/>
    </row>
    <row r="176" spans="1:20" ht="28.5" customHeight="1">
      <c r="A176" s="156">
        <v>2069901</v>
      </c>
      <c r="B176" s="157" t="s">
        <v>248</v>
      </c>
      <c r="C176" s="158"/>
      <c r="D176" s="158"/>
      <c r="E176" s="158"/>
      <c r="F176" s="158"/>
      <c r="G176" s="158"/>
      <c r="H176" s="158"/>
      <c r="I176" s="158"/>
      <c r="J176" s="158">
        <f t="shared" si="18"/>
        <v>26</v>
      </c>
      <c r="K176" s="158"/>
      <c r="L176" s="158">
        <v>26</v>
      </c>
      <c r="M176" s="158">
        <f>L176+K176</f>
        <v>26</v>
      </c>
      <c r="N176" s="158">
        <v>100</v>
      </c>
      <c r="O176" s="158"/>
      <c r="P176" s="158"/>
      <c r="Q176" s="158"/>
      <c r="R176" s="158">
        <f t="shared" si="40"/>
        <v>26</v>
      </c>
      <c r="S176" s="158">
        <f t="shared" si="41"/>
        <v>26</v>
      </c>
      <c r="T176" s="169" t="s">
        <v>137</v>
      </c>
    </row>
    <row r="177" spans="1:20" ht="49.5" customHeight="1">
      <c r="A177" s="156">
        <v>2069999</v>
      </c>
      <c r="B177" s="157" t="s">
        <v>247</v>
      </c>
      <c r="C177" s="158">
        <v>429.2</v>
      </c>
      <c r="D177" s="158"/>
      <c r="E177" s="158">
        <f aca="true" t="shared" si="45" ref="E177:E198">C177+D177</f>
        <v>429.2</v>
      </c>
      <c r="F177" s="158">
        <v>-60</v>
      </c>
      <c r="G177" s="158">
        <v>0</v>
      </c>
      <c r="H177" s="158">
        <v>0</v>
      </c>
      <c r="I177" s="158">
        <v>0</v>
      </c>
      <c r="J177" s="158">
        <f t="shared" si="18"/>
        <v>300</v>
      </c>
      <c r="K177" s="158">
        <v>369.2</v>
      </c>
      <c r="L177" s="158">
        <v>300</v>
      </c>
      <c r="M177" s="158">
        <f t="shared" si="44"/>
        <v>669.2</v>
      </c>
      <c r="N177" s="158">
        <f aca="true" t="shared" si="46" ref="N177:N198">(M177/E177-1)*100</f>
        <v>55.917986952469725</v>
      </c>
      <c r="O177" s="158">
        <v>369.2</v>
      </c>
      <c r="P177" s="158">
        <v>369.2</v>
      </c>
      <c r="Q177" s="158">
        <v>0</v>
      </c>
      <c r="R177" s="158">
        <f t="shared" si="40"/>
        <v>300</v>
      </c>
      <c r="S177" s="158">
        <f t="shared" si="41"/>
        <v>669.2</v>
      </c>
      <c r="T177" s="169" t="s">
        <v>249</v>
      </c>
    </row>
    <row r="178" spans="1:20" ht="28.5" customHeight="1">
      <c r="A178" s="156">
        <v>207</v>
      </c>
      <c r="B178" s="157" t="s">
        <v>250</v>
      </c>
      <c r="C178" s="158">
        <f aca="true" t="shared" si="47" ref="C178:I178">C179+C184+C186+C188</f>
        <v>4501.5199999999995</v>
      </c>
      <c r="D178" s="158">
        <f t="shared" si="47"/>
        <v>111</v>
      </c>
      <c r="E178" s="158">
        <f t="shared" si="45"/>
        <v>4612.5199999999995</v>
      </c>
      <c r="F178" s="158">
        <f t="shared" si="47"/>
        <v>106.88</v>
      </c>
      <c r="G178" s="158">
        <f t="shared" si="47"/>
        <v>0</v>
      </c>
      <c r="H178" s="158">
        <f t="shared" si="47"/>
        <v>0</v>
      </c>
      <c r="I178" s="158">
        <f t="shared" si="47"/>
        <v>117.36999999999988</v>
      </c>
      <c r="J178" s="158">
        <f aca="true" t="shared" si="48" ref="J178:J241">L178-D178</f>
        <v>169</v>
      </c>
      <c r="K178" s="158">
        <f aca="true" t="shared" si="49" ref="K178:S178">K179+K184+K186+K188</f>
        <v>4725.7699999999995</v>
      </c>
      <c r="L178" s="158">
        <v>280</v>
      </c>
      <c r="M178" s="158">
        <f t="shared" si="44"/>
        <v>5005.7699999999995</v>
      </c>
      <c r="N178" s="158">
        <f t="shared" si="46"/>
        <v>8.525708289611744</v>
      </c>
      <c r="O178" s="158">
        <f t="shared" si="49"/>
        <v>4725.7699999999995</v>
      </c>
      <c r="P178" s="158">
        <f t="shared" si="49"/>
        <v>1751.1</v>
      </c>
      <c r="Q178" s="158">
        <f t="shared" si="49"/>
        <v>2974.67</v>
      </c>
      <c r="R178" s="158">
        <f t="shared" si="49"/>
        <v>280</v>
      </c>
      <c r="S178" s="158">
        <f t="shared" si="49"/>
        <v>5005.7699999999995</v>
      </c>
      <c r="T178" s="169"/>
    </row>
    <row r="179" spans="1:20" ht="28.5" customHeight="1">
      <c r="A179" s="156">
        <v>20701</v>
      </c>
      <c r="B179" s="157" t="s">
        <v>251</v>
      </c>
      <c r="C179" s="158">
        <v>179.62</v>
      </c>
      <c r="D179" s="158">
        <v>111</v>
      </c>
      <c r="E179" s="158">
        <f t="shared" si="45"/>
        <v>290.62</v>
      </c>
      <c r="F179" s="158">
        <v>-10.12</v>
      </c>
      <c r="G179" s="158">
        <v>0</v>
      </c>
      <c r="H179" s="158">
        <v>0</v>
      </c>
      <c r="I179" s="158">
        <v>19.36</v>
      </c>
      <c r="J179" s="158">
        <f t="shared" si="48"/>
        <v>155</v>
      </c>
      <c r="K179" s="158">
        <v>188.86</v>
      </c>
      <c r="L179" s="158">
        <v>266</v>
      </c>
      <c r="M179" s="158">
        <f t="shared" si="44"/>
        <v>454.86</v>
      </c>
      <c r="N179" s="158">
        <f t="shared" si="46"/>
        <v>56.513660450072265</v>
      </c>
      <c r="O179" s="158">
        <v>188.86</v>
      </c>
      <c r="P179" s="158">
        <v>132.78</v>
      </c>
      <c r="Q179" s="158">
        <v>56.08</v>
      </c>
      <c r="R179" s="158">
        <f aca="true" t="shared" si="50" ref="R179:R189">L179</f>
        <v>266</v>
      </c>
      <c r="S179" s="158">
        <f aca="true" t="shared" si="51" ref="S179:S189">M179</f>
        <v>454.86</v>
      </c>
      <c r="T179" s="169"/>
    </row>
    <row r="180" spans="1:20" ht="46.5" customHeight="1">
      <c r="A180" s="156">
        <v>2070104</v>
      </c>
      <c r="B180" s="157" t="s">
        <v>252</v>
      </c>
      <c r="C180" s="158">
        <v>18.66</v>
      </c>
      <c r="D180" s="158"/>
      <c r="E180" s="158">
        <f t="shared" si="45"/>
        <v>18.66</v>
      </c>
      <c r="F180" s="158">
        <v>0</v>
      </c>
      <c r="G180" s="158">
        <v>0</v>
      </c>
      <c r="H180" s="158">
        <v>0</v>
      </c>
      <c r="I180" s="158">
        <v>1.81</v>
      </c>
      <c r="J180" s="158">
        <f t="shared" si="48"/>
        <v>0</v>
      </c>
      <c r="K180" s="158">
        <v>20.47</v>
      </c>
      <c r="L180" s="158"/>
      <c r="M180" s="158">
        <f t="shared" si="44"/>
        <v>20.47</v>
      </c>
      <c r="N180" s="158">
        <f t="shared" si="46"/>
        <v>9.699892818863876</v>
      </c>
      <c r="O180" s="158">
        <v>20.47</v>
      </c>
      <c r="P180" s="158">
        <v>10.05</v>
      </c>
      <c r="Q180" s="158">
        <v>10.42</v>
      </c>
      <c r="R180" s="158">
        <f t="shared" si="50"/>
        <v>0</v>
      </c>
      <c r="S180" s="158">
        <f t="shared" si="51"/>
        <v>20.47</v>
      </c>
      <c r="T180" s="169" t="s">
        <v>88</v>
      </c>
    </row>
    <row r="181" spans="1:20" ht="66" customHeight="1">
      <c r="A181" s="156">
        <v>2070109</v>
      </c>
      <c r="B181" s="157" t="s">
        <v>253</v>
      </c>
      <c r="C181" s="158">
        <v>105.96</v>
      </c>
      <c r="D181" s="158"/>
      <c r="E181" s="158">
        <f t="shared" si="45"/>
        <v>105.96</v>
      </c>
      <c r="F181" s="158">
        <v>-10.12</v>
      </c>
      <c r="G181" s="158">
        <v>0</v>
      </c>
      <c r="H181" s="158">
        <v>0</v>
      </c>
      <c r="I181" s="158">
        <v>17.55</v>
      </c>
      <c r="J181" s="158">
        <f t="shared" si="48"/>
        <v>0</v>
      </c>
      <c r="K181" s="158">
        <v>113.39</v>
      </c>
      <c r="L181" s="158"/>
      <c r="M181" s="158">
        <f t="shared" si="44"/>
        <v>113.39</v>
      </c>
      <c r="N181" s="158">
        <f t="shared" si="46"/>
        <v>7.012080030200085</v>
      </c>
      <c r="O181" s="158">
        <v>113.39</v>
      </c>
      <c r="P181" s="158">
        <v>67.73</v>
      </c>
      <c r="Q181" s="158">
        <v>45.66</v>
      </c>
      <c r="R181" s="158">
        <f t="shared" si="50"/>
        <v>0</v>
      </c>
      <c r="S181" s="158">
        <f t="shared" si="51"/>
        <v>113.39</v>
      </c>
      <c r="T181" s="169" t="s">
        <v>103</v>
      </c>
    </row>
    <row r="182" spans="1:20" ht="28.5" customHeight="1">
      <c r="A182" s="156">
        <v>2070112</v>
      </c>
      <c r="B182" s="157" t="s">
        <v>254</v>
      </c>
      <c r="C182" s="158">
        <v>2</v>
      </c>
      <c r="D182" s="158"/>
      <c r="E182" s="158">
        <f t="shared" si="45"/>
        <v>2</v>
      </c>
      <c r="F182" s="158">
        <v>0</v>
      </c>
      <c r="G182" s="158">
        <v>0</v>
      </c>
      <c r="H182" s="158">
        <v>0</v>
      </c>
      <c r="I182" s="158">
        <v>0</v>
      </c>
      <c r="J182" s="158">
        <f t="shared" si="48"/>
        <v>0</v>
      </c>
      <c r="K182" s="158">
        <v>2</v>
      </c>
      <c r="L182" s="158"/>
      <c r="M182" s="158">
        <f t="shared" si="44"/>
        <v>2</v>
      </c>
      <c r="N182" s="158">
        <f t="shared" si="46"/>
        <v>0</v>
      </c>
      <c r="O182" s="158">
        <v>2</v>
      </c>
      <c r="P182" s="158">
        <v>2</v>
      </c>
      <c r="Q182" s="158">
        <v>0</v>
      </c>
      <c r="R182" s="158">
        <f t="shared" si="50"/>
        <v>0</v>
      </c>
      <c r="S182" s="158">
        <f t="shared" si="51"/>
        <v>2</v>
      </c>
      <c r="T182" s="169"/>
    </row>
    <row r="183" spans="1:20" ht="28.5" customHeight="1">
      <c r="A183" s="156">
        <v>2070199</v>
      </c>
      <c r="B183" s="157" t="s">
        <v>255</v>
      </c>
      <c r="C183" s="158">
        <v>53</v>
      </c>
      <c r="D183" s="158">
        <v>111</v>
      </c>
      <c r="E183" s="158">
        <f t="shared" si="45"/>
        <v>164</v>
      </c>
      <c r="F183" s="158">
        <v>0</v>
      </c>
      <c r="G183" s="158">
        <v>0</v>
      </c>
      <c r="H183" s="158">
        <v>0</v>
      </c>
      <c r="I183" s="158">
        <v>0</v>
      </c>
      <c r="J183" s="158">
        <f t="shared" si="48"/>
        <v>155</v>
      </c>
      <c r="K183" s="158">
        <v>53</v>
      </c>
      <c r="L183" s="158">
        <v>266</v>
      </c>
      <c r="M183" s="158">
        <f t="shared" si="44"/>
        <v>319</v>
      </c>
      <c r="N183" s="158">
        <f t="shared" si="46"/>
        <v>94.51219512195121</v>
      </c>
      <c r="O183" s="158">
        <v>53</v>
      </c>
      <c r="P183" s="158">
        <v>53</v>
      </c>
      <c r="Q183" s="158">
        <v>0</v>
      </c>
      <c r="R183" s="158">
        <f t="shared" si="50"/>
        <v>266</v>
      </c>
      <c r="S183" s="158">
        <f t="shared" si="51"/>
        <v>319</v>
      </c>
      <c r="T183" s="169" t="s">
        <v>137</v>
      </c>
    </row>
    <row r="184" spans="1:20" ht="28.5" customHeight="1">
      <c r="A184" s="156">
        <v>20702</v>
      </c>
      <c r="B184" s="157" t="s">
        <v>256</v>
      </c>
      <c r="C184" s="158">
        <v>2</v>
      </c>
      <c r="D184" s="158"/>
      <c r="E184" s="158">
        <f t="shared" si="45"/>
        <v>2</v>
      </c>
      <c r="F184" s="158">
        <v>0</v>
      </c>
      <c r="G184" s="158">
        <v>0</v>
      </c>
      <c r="H184" s="158">
        <v>0</v>
      </c>
      <c r="I184" s="158">
        <v>0</v>
      </c>
      <c r="J184" s="158">
        <f t="shared" si="48"/>
        <v>0</v>
      </c>
      <c r="K184" s="158">
        <v>2</v>
      </c>
      <c r="L184" s="158"/>
      <c r="M184" s="158">
        <f t="shared" si="44"/>
        <v>2</v>
      </c>
      <c r="N184" s="158">
        <f t="shared" si="46"/>
        <v>0</v>
      </c>
      <c r="O184" s="158">
        <v>2</v>
      </c>
      <c r="P184" s="158">
        <v>0</v>
      </c>
      <c r="Q184" s="158">
        <v>2</v>
      </c>
      <c r="R184" s="158">
        <f t="shared" si="50"/>
        <v>0</v>
      </c>
      <c r="S184" s="158">
        <f t="shared" si="51"/>
        <v>2</v>
      </c>
      <c r="T184" s="169"/>
    </row>
    <row r="185" spans="1:20" ht="28.5" customHeight="1">
      <c r="A185" s="156">
        <v>2070204</v>
      </c>
      <c r="B185" s="157" t="s">
        <v>257</v>
      </c>
      <c r="C185" s="158">
        <v>2</v>
      </c>
      <c r="D185" s="158"/>
      <c r="E185" s="158">
        <f t="shared" si="45"/>
        <v>2</v>
      </c>
      <c r="F185" s="158">
        <v>0</v>
      </c>
      <c r="G185" s="158">
        <v>0</v>
      </c>
      <c r="H185" s="158">
        <v>0</v>
      </c>
      <c r="I185" s="158">
        <v>0</v>
      </c>
      <c r="J185" s="158">
        <f t="shared" si="48"/>
        <v>0</v>
      </c>
      <c r="K185" s="158">
        <v>2</v>
      </c>
      <c r="L185" s="158"/>
      <c r="M185" s="158">
        <f t="shared" si="44"/>
        <v>2</v>
      </c>
      <c r="N185" s="158">
        <f t="shared" si="46"/>
        <v>0</v>
      </c>
      <c r="O185" s="158">
        <v>2</v>
      </c>
      <c r="P185" s="158">
        <v>0</v>
      </c>
      <c r="Q185" s="158">
        <v>2</v>
      </c>
      <c r="R185" s="158">
        <f t="shared" si="50"/>
        <v>0</v>
      </c>
      <c r="S185" s="158">
        <f t="shared" si="51"/>
        <v>2</v>
      </c>
      <c r="T185" s="169"/>
    </row>
    <row r="186" spans="1:20" ht="28.5" customHeight="1">
      <c r="A186" s="156">
        <v>20703</v>
      </c>
      <c r="B186" s="157" t="s">
        <v>258</v>
      </c>
      <c r="C186" s="158">
        <v>12</v>
      </c>
      <c r="D186" s="158"/>
      <c r="E186" s="158">
        <f t="shared" si="45"/>
        <v>12</v>
      </c>
      <c r="F186" s="158">
        <v>0</v>
      </c>
      <c r="G186" s="158">
        <v>0</v>
      </c>
      <c r="H186" s="158">
        <v>0</v>
      </c>
      <c r="I186" s="158">
        <v>0</v>
      </c>
      <c r="J186" s="158">
        <f t="shared" si="48"/>
        <v>0</v>
      </c>
      <c r="K186" s="158">
        <v>12</v>
      </c>
      <c r="L186" s="158"/>
      <c r="M186" s="158">
        <f t="shared" si="44"/>
        <v>12</v>
      </c>
      <c r="N186" s="158">
        <f t="shared" si="46"/>
        <v>0</v>
      </c>
      <c r="O186" s="158">
        <v>12</v>
      </c>
      <c r="P186" s="158">
        <v>11</v>
      </c>
      <c r="Q186" s="158">
        <v>1</v>
      </c>
      <c r="R186" s="158">
        <f t="shared" si="50"/>
        <v>0</v>
      </c>
      <c r="S186" s="158">
        <f t="shared" si="51"/>
        <v>12</v>
      </c>
      <c r="T186" s="169"/>
    </row>
    <row r="187" spans="1:20" ht="28.5" customHeight="1">
      <c r="A187" s="156">
        <v>2070308</v>
      </c>
      <c r="B187" s="157" t="s">
        <v>259</v>
      </c>
      <c r="C187" s="158">
        <v>12</v>
      </c>
      <c r="D187" s="158"/>
      <c r="E187" s="158">
        <f t="shared" si="45"/>
        <v>12</v>
      </c>
      <c r="F187" s="158">
        <v>0</v>
      </c>
      <c r="G187" s="158">
        <v>0</v>
      </c>
      <c r="H187" s="158">
        <v>0</v>
      </c>
      <c r="I187" s="158">
        <v>0</v>
      </c>
      <c r="J187" s="158">
        <f t="shared" si="48"/>
        <v>0</v>
      </c>
      <c r="K187" s="158">
        <v>12</v>
      </c>
      <c r="L187" s="158"/>
      <c r="M187" s="158">
        <f t="shared" si="44"/>
        <v>12</v>
      </c>
      <c r="N187" s="158">
        <f t="shared" si="46"/>
        <v>0</v>
      </c>
      <c r="O187" s="158">
        <v>12</v>
      </c>
      <c r="P187" s="158">
        <v>11</v>
      </c>
      <c r="Q187" s="158">
        <v>1</v>
      </c>
      <c r="R187" s="158">
        <f t="shared" si="50"/>
        <v>0</v>
      </c>
      <c r="S187" s="158">
        <f t="shared" si="51"/>
        <v>12</v>
      </c>
      <c r="T187" s="169"/>
    </row>
    <row r="188" spans="1:20" ht="28.5" customHeight="1">
      <c r="A188" s="156">
        <v>20799</v>
      </c>
      <c r="B188" s="157" t="s">
        <v>260</v>
      </c>
      <c r="C188" s="158">
        <v>4307.9</v>
      </c>
      <c r="D188" s="158"/>
      <c r="E188" s="158">
        <f t="shared" si="45"/>
        <v>4307.9</v>
      </c>
      <c r="F188" s="158">
        <v>117</v>
      </c>
      <c r="G188" s="158">
        <v>0</v>
      </c>
      <c r="H188" s="158">
        <v>0</v>
      </c>
      <c r="I188" s="158">
        <v>98.00999999999988</v>
      </c>
      <c r="J188" s="158">
        <f t="shared" si="48"/>
        <v>14</v>
      </c>
      <c r="K188" s="158">
        <v>4522.91</v>
      </c>
      <c r="L188" s="158">
        <v>14</v>
      </c>
      <c r="M188" s="158">
        <f t="shared" si="44"/>
        <v>4536.91</v>
      </c>
      <c r="N188" s="158">
        <f t="shared" si="46"/>
        <v>5.3160472620070065</v>
      </c>
      <c r="O188" s="158">
        <v>4522.91</v>
      </c>
      <c r="P188" s="158">
        <v>1607.32</v>
      </c>
      <c r="Q188" s="158">
        <f>25+2890.59</f>
        <v>2915.59</v>
      </c>
      <c r="R188" s="158">
        <f t="shared" si="50"/>
        <v>14</v>
      </c>
      <c r="S188" s="158">
        <f t="shared" si="51"/>
        <v>4536.91</v>
      </c>
      <c r="T188" s="169"/>
    </row>
    <row r="189" spans="1:20" ht="90.75" customHeight="1">
      <c r="A189" s="156">
        <v>2079999</v>
      </c>
      <c r="B189" s="157" t="s">
        <v>260</v>
      </c>
      <c r="C189" s="158">
        <v>4307.9</v>
      </c>
      <c r="D189" s="158"/>
      <c r="E189" s="158">
        <f t="shared" si="45"/>
        <v>4307.9</v>
      </c>
      <c r="F189" s="158">
        <f>25+92</f>
        <v>117</v>
      </c>
      <c r="G189" s="158">
        <v>0</v>
      </c>
      <c r="H189" s="158">
        <v>0</v>
      </c>
      <c r="I189" s="158">
        <v>98.00999999999988</v>
      </c>
      <c r="J189" s="158">
        <f t="shared" si="48"/>
        <v>14</v>
      </c>
      <c r="K189" s="158">
        <f>25+4497.91</f>
        <v>4522.91</v>
      </c>
      <c r="L189" s="158">
        <v>14</v>
      </c>
      <c r="M189" s="158">
        <f t="shared" si="44"/>
        <v>4536.91</v>
      </c>
      <c r="N189" s="158">
        <f t="shared" si="46"/>
        <v>5.3160472620070065</v>
      </c>
      <c r="O189" s="158">
        <f>25+4497.91</f>
        <v>4522.91</v>
      </c>
      <c r="P189" s="158">
        <v>1607.32</v>
      </c>
      <c r="Q189" s="158">
        <f>25+2890.59</f>
        <v>2915.59</v>
      </c>
      <c r="R189" s="158">
        <f t="shared" si="50"/>
        <v>14</v>
      </c>
      <c r="S189" s="158">
        <f t="shared" si="51"/>
        <v>4536.91</v>
      </c>
      <c r="T189" s="169" t="s">
        <v>261</v>
      </c>
    </row>
    <row r="190" spans="1:20" ht="28.5" customHeight="1">
      <c r="A190" s="156">
        <v>208</v>
      </c>
      <c r="B190" s="157" t="s">
        <v>262</v>
      </c>
      <c r="C190" s="158">
        <f aca="true" t="shared" si="52" ref="C190:I190">C191+C197+C205+C212+C219+C224+C228+C233+C238+C244+C241+C246+C249+C252+C255</f>
        <v>9107.05</v>
      </c>
      <c r="D190" s="158">
        <f t="shared" si="52"/>
        <v>3063.9</v>
      </c>
      <c r="E190" s="158">
        <f t="shared" si="45"/>
        <v>12170.949999999999</v>
      </c>
      <c r="F190" s="158">
        <f t="shared" si="52"/>
        <v>1122.95</v>
      </c>
      <c r="G190" s="158">
        <f t="shared" si="52"/>
        <v>-2.7800000000000002</v>
      </c>
      <c r="H190" s="158">
        <f t="shared" si="52"/>
        <v>0</v>
      </c>
      <c r="I190" s="158">
        <f t="shared" si="52"/>
        <v>764.6800000000001</v>
      </c>
      <c r="J190" s="158">
        <f t="shared" si="48"/>
        <v>8228.9912</v>
      </c>
      <c r="K190" s="158">
        <f aca="true" t="shared" si="53" ref="K190:S190">K191+K197+K205+K212+K219+K224+K228+K233+K238+K244+K241+K246+K249+K252+K255</f>
        <v>10991.9</v>
      </c>
      <c r="L190" s="158">
        <v>11292.8912</v>
      </c>
      <c r="M190" s="158">
        <f t="shared" si="44"/>
        <v>22284.7912</v>
      </c>
      <c r="N190" s="158">
        <f t="shared" si="46"/>
        <v>83.09820679568975</v>
      </c>
      <c r="O190" s="158">
        <f t="shared" si="53"/>
        <v>10991.9</v>
      </c>
      <c r="P190" s="158">
        <f t="shared" si="53"/>
        <v>5760.51</v>
      </c>
      <c r="Q190" s="158">
        <f t="shared" si="53"/>
        <v>5231.39</v>
      </c>
      <c r="R190" s="158">
        <f t="shared" si="53"/>
        <v>11292.8912</v>
      </c>
      <c r="S190" s="158">
        <f t="shared" si="53"/>
        <v>22284.7912</v>
      </c>
      <c r="T190" s="169"/>
    </row>
    <row r="191" spans="1:20" ht="36" customHeight="1">
      <c r="A191" s="156">
        <v>20801</v>
      </c>
      <c r="B191" s="157" t="s">
        <v>263</v>
      </c>
      <c r="C191" s="158">
        <v>705.91</v>
      </c>
      <c r="D191" s="158"/>
      <c r="E191" s="158">
        <f t="shared" si="45"/>
        <v>705.91</v>
      </c>
      <c r="F191" s="158">
        <v>1.28</v>
      </c>
      <c r="G191" s="158">
        <v>0</v>
      </c>
      <c r="H191" s="158">
        <v>0</v>
      </c>
      <c r="I191" s="158">
        <v>135.59</v>
      </c>
      <c r="J191" s="158">
        <f t="shared" si="48"/>
        <v>40</v>
      </c>
      <c r="K191" s="158">
        <v>842.78</v>
      </c>
      <c r="L191" s="158">
        <v>40</v>
      </c>
      <c r="M191" s="158">
        <f t="shared" si="44"/>
        <v>882.78</v>
      </c>
      <c r="N191" s="158">
        <f t="shared" si="46"/>
        <v>25.055601988922092</v>
      </c>
      <c r="O191" s="158">
        <v>842.78</v>
      </c>
      <c r="P191" s="158">
        <v>604.46</v>
      </c>
      <c r="Q191" s="158">
        <v>238.32</v>
      </c>
      <c r="R191" s="158">
        <f aca="true" t="shared" si="54" ref="R191:R254">L191</f>
        <v>40</v>
      </c>
      <c r="S191" s="158">
        <f aca="true" t="shared" si="55" ref="S191:S254">M191</f>
        <v>882.78</v>
      </c>
      <c r="T191" s="169"/>
    </row>
    <row r="192" spans="1:20" ht="60" customHeight="1">
      <c r="A192" s="156">
        <v>2080101</v>
      </c>
      <c r="B192" s="157" t="s">
        <v>87</v>
      </c>
      <c r="C192" s="158">
        <v>317.43</v>
      </c>
      <c r="D192" s="158"/>
      <c r="E192" s="158">
        <f t="shared" si="45"/>
        <v>317.43</v>
      </c>
      <c r="F192" s="158">
        <v>1.25</v>
      </c>
      <c r="G192" s="158">
        <v>0</v>
      </c>
      <c r="H192" s="158">
        <v>0</v>
      </c>
      <c r="I192" s="158">
        <v>83.17</v>
      </c>
      <c r="J192" s="158">
        <f t="shared" si="48"/>
        <v>0</v>
      </c>
      <c r="K192" s="158">
        <v>401.85</v>
      </c>
      <c r="L192" s="158"/>
      <c r="M192" s="158">
        <f t="shared" si="44"/>
        <v>401.85</v>
      </c>
      <c r="N192" s="158">
        <f t="shared" si="46"/>
        <v>26.594839807201588</v>
      </c>
      <c r="O192" s="158">
        <v>401.85</v>
      </c>
      <c r="P192" s="158">
        <v>269.4</v>
      </c>
      <c r="Q192" s="158">
        <v>132.45</v>
      </c>
      <c r="R192" s="158">
        <f t="shared" si="54"/>
        <v>0</v>
      </c>
      <c r="S192" s="158">
        <f t="shared" si="55"/>
        <v>401.85</v>
      </c>
      <c r="T192" s="169" t="s">
        <v>126</v>
      </c>
    </row>
    <row r="193" spans="1:20" ht="51.75" customHeight="1">
      <c r="A193" s="156">
        <v>2080102</v>
      </c>
      <c r="B193" s="157" t="s">
        <v>89</v>
      </c>
      <c r="C193" s="158">
        <v>114</v>
      </c>
      <c r="D193" s="158"/>
      <c r="E193" s="158">
        <f t="shared" si="45"/>
        <v>114</v>
      </c>
      <c r="F193" s="158">
        <v>0</v>
      </c>
      <c r="G193" s="158">
        <v>0</v>
      </c>
      <c r="H193" s="158">
        <v>0</v>
      </c>
      <c r="I193" s="158">
        <v>40</v>
      </c>
      <c r="J193" s="158">
        <f t="shared" si="48"/>
        <v>0</v>
      </c>
      <c r="K193" s="158">
        <v>154</v>
      </c>
      <c r="L193" s="158"/>
      <c r="M193" s="158">
        <f t="shared" si="44"/>
        <v>154</v>
      </c>
      <c r="N193" s="158">
        <f t="shared" si="46"/>
        <v>35.08771929824561</v>
      </c>
      <c r="O193" s="158">
        <v>154</v>
      </c>
      <c r="P193" s="158">
        <v>131</v>
      </c>
      <c r="Q193" s="158">
        <v>23</v>
      </c>
      <c r="R193" s="158">
        <f t="shared" si="54"/>
        <v>0</v>
      </c>
      <c r="S193" s="158">
        <f t="shared" si="55"/>
        <v>154</v>
      </c>
      <c r="T193" s="169" t="s">
        <v>264</v>
      </c>
    </row>
    <row r="194" spans="1:20" ht="28.5" customHeight="1">
      <c r="A194" s="156">
        <v>2080104</v>
      </c>
      <c r="B194" s="157" t="s">
        <v>265</v>
      </c>
      <c r="C194" s="158">
        <v>43</v>
      </c>
      <c r="D194" s="158"/>
      <c r="E194" s="158">
        <f t="shared" si="45"/>
        <v>43</v>
      </c>
      <c r="F194" s="158">
        <v>0</v>
      </c>
      <c r="G194" s="158">
        <v>0</v>
      </c>
      <c r="H194" s="158">
        <v>0</v>
      </c>
      <c r="I194" s="158">
        <v>0</v>
      </c>
      <c r="J194" s="158">
        <f t="shared" si="48"/>
        <v>0</v>
      </c>
      <c r="K194" s="158">
        <v>43</v>
      </c>
      <c r="L194" s="158"/>
      <c r="M194" s="158">
        <f t="shared" si="44"/>
        <v>43</v>
      </c>
      <c r="N194" s="158">
        <f t="shared" si="46"/>
        <v>0</v>
      </c>
      <c r="O194" s="158">
        <v>43</v>
      </c>
      <c r="P194" s="158">
        <v>3.5</v>
      </c>
      <c r="Q194" s="158">
        <v>39.5</v>
      </c>
      <c r="R194" s="158">
        <f t="shared" si="54"/>
        <v>0</v>
      </c>
      <c r="S194" s="158">
        <f t="shared" si="55"/>
        <v>43</v>
      </c>
      <c r="T194" s="169"/>
    </row>
    <row r="195" spans="1:20" ht="52.5" customHeight="1">
      <c r="A195" s="156">
        <v>2080111</v>
      </c>
      <c r="B195" s="157" t="s">
        <v>266</v>
      </c>
      <c r="C195" s="158">
        <v>89.1</v>
      </c>
      <c r="D195" s="158"/>
      <c r="E195" s="158">
        <f t="shared" si="45"/>
        <v>89.1</v>
      </c>
      <c r="F195" s="158">
        <v>0.03</v>
      </c>
      <c r="G195" s="158">
        <v>0</v>
      </c>
      <c r="H195" s="158">
        <v>0</v>
      </c>
      <c r="I195" s="158">
        <v>10.28</v>
      </c>
      <c r="J195" s="158">
        <f t="shared" si="48"/>
        <v>0</v>
      </c>
      <c r="K195" s="158">
        <v>99.41</v>
      </c>
      <c r="L195" s="158"/>
      <c r="M195" s="158">
        <f t="shared" si="44"/>
        <v>99.41</v>
      </c>
      <c r="N195" s="158">
        <f t="shared" si="46"/>
        <v>11.571268237934905</v>
      </c>
      <c r="O195" s="158">
        <v>99.41</v>
      </c>
      <c r="P195" s="158">
        <v>66.95</v>
      </c>
      <c r="Q195" s="158">
        <v>32.46</v>
      </c>
      <c r="R195" s="158">
        <f t="shared" si="54"/>
        <v>0</v>
      </c>
      <c r="S195" s="158">
        <f t="shared" si="55"/>
        <v>99.41</v>
      </c>
      <c r="T195" s="169" t="s">
        <v>88</v>
      </c>
    </row>
    <row r="196" spans="1:20" ht="49.5" customHeight="1">
      <c r="A196" s="156">
        <v>2080199</v>
      </c>
      <c r="B196" s="157" t="s">
        <v>267</v>
      </c>
      <c r="C196" s="158">
        <v>142.38</v>
      </c>
      <c r="D196" s="158"/>
      <c r="E196" s="158">
        <f t="shared" si="45"/>
        <v>142.38</v>
      </c>
      <c r="F196" s="158">
        <v>0</v>
      </c>
      <c r="G196" s="158">
        <v>0</v>
      </c>
      <c r="H196" s="158">
        <v>0</v>
      </c>
      <c r="I196" s="158">
        <v>2.14</v>
      </c>
      <c r="J196" s="158">
        <f t="shared" si="48"/>
        <v>40</v>
      </c>
      <c r="K196" s="158">
        <v>144.52</v>
      </c>
      <c r="L196" s="158">
        <v>40</v>
      </c>
      <c r="M196" s="158">
        <f t="shared" si="44"/>
        <v>184.52</v>
      </c>
      <c r="N196" s="158">
        <f t="shared" si="46"/>
        <v>29.596853490658816</v>
      </c>
      <c r="O196" s="158">
        <v>144.52</v>
      </c>
      <c r="P196" s="158">
        <v>133.61</v>
      </c>
      <c r="Q196" s="158">
        <v>10.91</v>
      </c>
      <c r="R196" s="158">
        <f t="shared" si="54"/>
        <v>40</v>
      </c>
      <c r="S196" s="158">
        <f t="shared" si="55"/>
        <v>184.52</v>
      </c>
      <c r="T196" s="169" t="s">
        <v>88</v>
      </c>
    </row>
    <row r="197" spans="1:20" ht="28.5" customHeight="1">
      <c r="A197" s="156">
        <v>20802</v>
      </c>
      <c r="B197" s="157" t="s">
        <v>268</v>
      </c>
      <c r="C197" s="158">
        <v>566.39</v>
      </c>
      <c r="D197" s="158">
        <v>28</v>
      </c>
      <c r="E197" s="158">
        <f t="shared" si="45"/>
        <v>594.39</v>
      </c>
      <c r="F197" s="158">
        <v>111.62</v>
      </c>
      <c r="G197" s="158">
        <v>-0.2</v>
      </c>
      <c r="H197" s="158">
        <v>0</v>
      </c>
      <c r="I197" s="158">
        <v>42.52</v>
      </c>
      <c r="J197" s="158">
        <f t="shared" si="48"/>
        <v>110</v>
      </c>
      <c r="K197" s="158">
        <v>720.33</v>
      </c>
      <c r="L197" s="158">
        <v>138</v>
      </c>
      <c r="M197" s="158">
        <f t="shared" si="44"/>
        <v>858.33</v>
      </c>
      <c r="N197" s="158">
        <f t="shared" si="46"/>
        <v>44.405188512592744</v>
      </c>
      <c r="O197" s="158">
        <v>720.33</v>
      </c>
      <c r="P197" s="158">
        <v>342.1</v>
      </c>
      <c r="Q197" s="158">
        <v>378.23</v>
      </c>
      <c r="R197" s="158">
        <f t="shared" si="54"/>
        <v>138</v>
      </c>
      <c r="S197" s="158">
        <f t="shared" si="55"/>
        <v>858.33</v>
      </c>
      <c r="T197" s="169"/>
    </row>
    <row r="198" spans="1:20" ht="63.75" customHeight="1">
      <c r="A198" s="156">
        <v>2080201</v>
      </c>
      <c r="B198" s="157" t="s">
        <v>87</v>
      </c>
      <c r="C198" s="158">
        <v>196.59</v>
      </c>
      <c r="D198" s="158"/>
      <c r="E198" s="158">
        <f t="shared" si="45"/>
        <v>196.59</v>
      </c>
      <c r="F198" s="158">
        <v>4.93</v>
      </c>
      <c r="G198" s="158">
        <v>0</v>
      </c>
      <c r="H198" s="158">
        <v>0</v>
      </c>
      <c r="I198" s="158">
        <v>40.84</v>
      </c>
      <c r="J198" s="158">
        <f t="shared" si="48"/>
        <v>0</v>
      </c>
      <c r="K198" s="158">
        <v>242.36</v>
      </c>
      <c r="L198" s="158"/>
      <c r="M198" s="158">
        <f t="shared" si="44"/>
        <v>242.36</v>
      </c>
      <c r="N198" s="158">
        <f t="shared" si="46"/>
        <v>23.281957373213302</v>
      </c>
      <c r="O198" s="158">
        <v>242.36</v>
      </c>
      <c r="P198" s="158">
        <v>150.98</v>
      </c>
      <c r="Q198" s="158">
        <v>91.38</v>
      </c>
      <c r="R198" s="158">
        <f t="shared" si="54"/>
        <v>0</v>
      </c>
      <c r="S198" s="158">
        <f t="shared" si="55"/>
        <v>242.36</v>
      </c>
      <c r="T198" s="169" t="s">
        <v>126</v>
      </c>
    </row>
    <row r="199" spans="1:20" ht="28.5" customHeight="1">
      <c r="A199" s="156">
        <v>2080202</v>
      </c>
      <c r="B199" s="157" t="s">
        <v>89</v>
      </c>
      <c r="C199" s="158"/>
      <c r="D199" s="158"/>
      <c r="E199" s="158"/>
      <c r="F199" s="158"/>
      <c r="G199" s="158"/>
      <c r="H199" s="158"/>
      <c r="I199" s="158"/>
      <c r="J199" s="158">
        <f t="shared" si="48"/>
        <v>28</v>
      </c>
      <c r="K199" s="158"/>
      <c r="L199" s="158">
        <v>28</v>
      </c>
      <c r="M199" s="158">
        <f>L199+K199</f>
        <v>28</v>
      </c>
      <c r="N199" s="158">
        <v>100</v>
      </c>
      <c r="O199" s="158"/>
      <c r="P199" s="158"/>
      <c r="Q199" s="158"/>
      <c r="R199" s="158">
        <f t="shared" si="54"/>
        <v>28</v>
      </c>
      <c r="S199" s="158">
        <f t="shared" si="55"/>
        <v>28</v>
      </c>
      <c r="T199" s="169" t="s">
        <v>137</v>
      </c>
    </row>
    <row r="200" spans="1:20" ht="28.5" customHeight="1">
      <c r="A200" s="156">
        <v>2080204</v>
      </c>
      <c r="B200" s="157" t="s">
        <v>269</v>
      </c>
      <c r="C200" s="158">
        <v>200</v>
      </c>
      <c r="D200" s="158"/>
      <c r="E200" s="158">
        <f aca="true" t="shared" si="56" ref="E200:E213">C200+D200</f>
        <v>200</v>
      </c>
      <c r="F200" s="158">
        <v>-0.32</v>
      </c>
      <c r="G200" s="158">
        <v>0</v>
      </c>
      <c r="H200" s="158">
        <v>0</v>
      </c>
      <c r="I200" s="158">
        <v>0</v>
      </c>
      <c r="J200" s="158">
        <f t="shared" si="48"/>
        <v>110</v>
      </c>
      <c r="K200" s="158">
        <v>199.68</v>
      </c>
      <c r="L200" s="158">
        <v>110</v>
      </c>
      <c r="M200" s="158">
        <f aca="true" t="shared" si="57" ref="M200:M213">K200+L200</f>
        <v>309.68</v>
      </c>
      <c r="N200" s="158">
        <f aca="true" t="shared" si="58" ref="N200:N209">(M200/E200-1)*100</f>
        <v>54.84</v>
      </c>
      <c r="O200" s="158">
        <v>199.68</v>
      </c>
      <c r="P200" s="158">
        <v>42.91</v>
      </c>
      <c r="Q200" s="158">
        <v>156.77</v>
      </c>
      <c r="R200" s="158">
        <f t="shared" si="54"/>
        <v>110</v>
      </c>
      <c r="S200" s="158">
        <f t="shared" si="55"/>
        <v>309.68</v>
      </c>
      <c r="T200" s="169" t="s">
        <v>137</v>
      </c>
    </row>
    <row r="201" spans="1:20" ht="37.5" customHeight="1">
      <c r="A201" s="156">
        <v>2080205</v>
      </c>
      <c r="B201" s="157" t="s">
        <v>270</v>
      </c>
      <c r="C201" s="158">
        <v>9</v>
      </c>
      <c r="D201" s="158"/>
      <c r="E201" s="158">
        <f t="shared" si="56"/>
        <v>9</v>
      </c>
      <c r="F201" s="158">
        <v>5</v>
      </c>
      <c r="G201" s="158">
        <v>0</v>
      </c>
      <c r="H201" s="158">
        <v>0</v>
      </c>
      <c r="I201" s="158">
        <v>0</v>
      </c>
      <c r="J201" s="158">
        <f t="shared" si="48"/>
        <v>0</v>
      </c>
      <c r="K201" s="158">
        <v>14</v>
      </c>
      <c r="L201" s="158"/>
      <c r="M201" s="158">
        <f t="shared" si="57"/>
        <v>14</v>
      </c>
      <c r="N201" s="158">
        <f t="shared" si="58"/>
        <v>55.55555555555556</v>
      </c>
      <c r="O201" s="158">
        <v>14</v>
      </c>
      <c r="P201" s="158">
        <v>0</v>
      </c>
      <c r="Q201" s="158">
        <v>14</v>
      </c>
      <c r="R201" s="158">
        <f t="shared" si="54"/>
        <v>0</v>
      </c>
      <c r="S201" s="158">
        <f t="shared" si="55"/>
        <v>14</v>
      </c>
      <c r="T201" s="169" t="s">
        <v>271</v>
      </c>
    </row>
    <row r="202" spans="1:20" ht="39" customHeight="1">
      <c r="A202" s="156">
        <v>2080207</v>
      </c>
      <c r="B202" s="157" t="s">
        <v>272</v>
      </c>
      <c r="C202" s="158">
        <v>2</v>
      </c>
      <c r="D202" s="158"/>
      <c r="E202" s="158">
        <f t="shared" si="56"/>
        <v>2</v>
      </c>
      <c r="F202" s="158">
        <v>100</v>
      </c>
      <c r="G202" s="158">
        <v>0</v>
      </c>
      <c r="H202" s="158">
        <v>0</v>
      </c>
      <c r="I202" s="158">
        <v>0</v>
      </c>
      <c r="J202" s="158">
        <f t="shared" si="48"/>
        <v>0</v>
      </c>
      <c r="K202" s="158">
        <v>102</v>
      </c>
      <c r="L202" s="158"/>
      <c r="M202" s="158">
        <f t="shared" si="57"/>
        <v>102</v>
      </c>
      <c r="N202" s="158">
        <f t="shared" si="58"/>
        <v>5000</v>
      </c>
      <c r="O202" s="158">
        <v>102</v>
      </c>
      <c r="P202" s="158">
        <v>2</v>
      </c>
      <c r="Q202" s="158">
        <v>100</v>
      </c>
      <c r="R202" s="158">
        <f t="shared" si="54"/>
        <v>0</v>
      </c>
      <c r="S202" s="158">
        <f t="shared" si="55"/>
        <v>102</v>
      </c>
      <c r="T202" s="169" t="s">
        <v>273</v>
      </c>
    </row>
    <row r="203" spans="1:20" ht="54.75" customHeight="1">
      <c r="A203" s="156">
        <v>2080208</v>
      </c>
      <c r="B203" s="157" t="s">
        <v>274</v>
      </c>
      <c r="C203" s="158">
        <v>135.76</v>
      </c>
      <c r="D203" s="158">
        <v>28</v>
      </c>
      <c r="E203" s="158">
        <f t="shared" si="56"/>
        <v>163.76</v>
      </c>
      <c r="F203" s="158">
        <v>2</v>
      </c>
      <c r="G203" s="158">
        <v>0</v>
      </c>
      <c r="H203" s="158">
        <v>0</v>
      </c>
      <c r="I203" s="158">
        <v>0</v>
      </c>
      <c r="J203" s="158">
        <f t="shared" si="48"/>
        <v>-28</v>
      </c>
      <c r="K203" s="158">
        <v>137.76</v>
      </c>
      <c r="L203" s="158"/>
      <c r="M203" s="158">
        <f t="shared" si="57"/>
        <v>137.76</v>
      </c>
      <c r="N203" s="158">
        <f t="shared" si="58"/>
        <v>-15.87689301416707</v>
      </c>
      <c r="O203" s="158">
        <v>137.76</v>
      </c>
      <c r="P203" s="158">
        <v>130.76</v>
      </c>
      <c r="Q203" s="158">
        <v>7</v>
      </c>
      <c r="R203" s="158">
        <f t="shared" si="54"/>
        <v>0</v>
      </c>
      <c r="S203" s="158">
        <f t="shared" si="55"/>
        <v>137.76</v>
      </c>
      <c r="T203" s="169" t="s">
        <v>275</v>
      </c>
    </row>
    <row r="204" spans="1:20" ht="51.75" customHeight="1">
      <c r="A204" s="156">
        <v>2080299</v>
      </c>
      <c r="B204" s="157" t="s">
        <v>276</v>
      </c>
      <c r="C204" s="158">
        <v>23.04</v>
      </c>
      <c r="D204" s="158"/>
      <c r="E204" s="158">
        <f t="shared" si="56"/>
        <v>23.04</v>
      </c>
      <c r="F204" s="158">
        <v>0.01</v>
      </c>
      <c r="G204" s="158">
        <v>-0.2</v>
      </c>
      <c r="H204" s="158">
        <v>0</v>
      </c>
      <c r="I204" s="158">
        <v>1.68</v>
      </c>
      <c r="J204" s="158">
        <f t="shared" si="48"/>
        <v>0</v>
      </c>
      <c r="K204" s="158">
        <v>24.53</v>
      </c>
      <c r="L204" s="158"/>
      <c r="M204" s="158">
        <f t="shared" si="57"/>
        <v>24.53</v>
      </c>
      <c r="N204" s="158">
        <f t="shared" si="58"/>
        <v>6.467013888888906</v>
      </c>
      <c r="O204" s="158">
        <v>24.53</v>
      </c>
      <c r="P204" s="158">
        <v>15.45</v>
      </c>
      <c r="Q204" s="158">
        <v>9.08</v>
      </c>
      <c r="R204" s="158">
        <f t="shared" si="54"/>
        <v>0</v>
      </c>
      <c r="S204" s="158">
        <f t="shared" si="55"/>
        <v>24.53</v>
      </c>
      <c r="T204" s="169" t="s">
        <v>88</v>
      </c>
    </row>
    <row r="205" spans="1:20" ht="28.5" customHeight="1">
      <c r="A205" s="156">
        <v>20805</v>
      </c>
      <c r="B205" s="157" t="s">
        <v>277</v>
      </c>
      <c r="C205" s="158">
        <v>2767.7</v>
      </c>
      <c r="D205" s="158"/>
      <c r="E205" s="158">
        <f t="shared" si="56"/>
        <v>2767.7</v>
      </c>
      <c r="F205" s="158">
        <v>351.08</v>
      </c>
      <c r="G205" s="158">
        <v>0</v>
      </c>
      <c r="H205" s="158">
        <v>0</v>
      </c>
      <c r="I205" s="158">
        <v>739.36</v>
      </c>
      <c r="J205" s="158">
        <f t="shared" si="48"/>
        <v>0</v>
      </c>
      <c r="K205" s="158">
        <v>3858.14</v>
      </c>
      <c r="L205" s="158"/>
      <c r="M205" s="158">
        <f t="shared" si="57"/>
        <v>3858.14</v>
      </c>
      <c r="N205" s="158">
        <f t="shared" si="58"/>
        <v>39.3987787693753</v>
      </c>
      <c r="O205" s="158">
        <v>3858.14</v>
      </c>
      <c r="P205" s="158">
        <v>2190.28</v>
      </c>
      <c r="Q205" s="158">
        <v>1667.86</v>
      </c>
      <c r="R205" s="158">
        <f t="shared" si="54"/>
        <v>0</v>
      </c>
      <c r="S205" s="158">
        <f t="shared" si="55"/>
        <v>3858.14</v>
      </c>
      <c r="T205" s="169"/>
    </row>
    <row r="206" spans="1:20" s="75" customFormat="1" ht="28.5" customHeight="1">
      <c r="A206" s="156">
        <v>2080502</v>
      </c>
      <c r="B206" s="157" t="s">
        <v>278</v>
      </c>
      <c r="C206" s="158">
        <v>20.23</v>
      </c>
      <c r="D206" s="158"/>
      <c r="E206" s="158">
        <f t="shared" si="56"/>
        <v>20.23</v>
      </c>
      <c r="F206" s="158">
        <v>0</v>
      </c>
      <c r="G206" s="158">
        <v>0</v>
      </c>
      <c r="H206" s="158">
        <v>0</v>
      </c>
      <c r="I206" s="158">
        <v>-20.23</v>
      </c>
      <c r="J206" s="158">
        <f t="shared" si="48"/>
        <v>0</v>
      </c>
      <c r="K206" s="158">
        <v>0</v>
      </c>
      <c r="L206" s="158"/>
      <c r="M206" s="158">
        <f t="shared" si="57"/>
        <v>0</v>
      </c>
      <c r="N206" s="158">
        <f t="shared" si="58"/>
        <v>-100</v>
      </c>
      <c r="O206" s="158">
        <v>0</v>
      </c>
      <c r="P206" s="158">
        <v>0</v>
      </c>
      <c r="Q206" s="158">
        <v>0</v>
      </c>
      <c r="R206" s="158">
        <f t="shared" si="54"/>
        <v>0</v>
      </c>
      <c r="S206" s="158">
        <f t="shared" si="55"/>
        <v>0</v>
      </c>
      <c r="T206" s="169" t="s">
        <v>165</v>
      </c>
    </row>
    <row r="207" spans="1:20" ht="60.75" customHeight="1">
      <c r="A207" s="156">
        <v>2080503</v>
      </c>
      <c r="B207" s="157" t="s">
        <v>279</v>
      </c>
      <c r="C207" s="158">
        <v>82.66</v>
      </c>
      <c r="D207" s="158"/>
      <c r="E207" s="158">
        <f t="shared" si="56"/>
        <v>82.66</v>
      </c>
      <c r="F207" s="158">
        <v>0.21</v>
      </c>
      <c r="G207" s="158">
        <v>0</v>
      </c>
      <c r="H207" s="158">
        <v>0</v>
      </c>
      <c r="I207" s="158">
        <v>8.48</v>
      </c>
      <c r="J207" s="158">
        <f t="shared" si="48"/>
        <v>0</v>
      </c>
      <c r="K207" s="158">
        <v>91.35</v>
      </c>
      <c r="L207" s="158"/>
      <c r="M207" s="158">
        <f t="shared" si="57"/>
        <v>91.35</v>
      </c>
      <c r="N207" s="158">
        <f t="shared" si="58"/>
        <v>10.512944592305828</v>
      </c>
      <c r="O207" s="158">
        <v>91.35</v>
      </c>
      <c r="P207" s="158">
        <v>56.67</v>
      </c>
      <c r="Q207" s="158">
        <v>34.68</v>
      </c>
      <c r="R207" s="158">
        <f t="shared" si="54"/>
        <v>0</v>
      </c>
      <c r="S207" s="158">
        <f t="shared" si="55"/>
        <v>91.35</v>
      </c>
      <c r="T207" s="169" t="s">
        <v>126</v>
      </c>
    </row>
    <row r="208" spans="1:20" ht="66.75" customHeight="1">
      <c r="A208" s="156">
        <v>2080504</v>
      </c>
      <c r="B208" s="157" t="s">
        <v>280</v>
      </c>
      <c r="C208" s="158">
        <v>583.66</v>
      </c>
      <c r="D208" s="158"/>
      <c r="E208" s="158">
        <f t="shared" si="56"/>
        <v>583.66</v>
      </c>
      <c r="F208" s="158">
        <v>-75.89</v>
      </c>
      <c r="G208" s="158">
        <v>0</v>
      </c>
      <c r="H208" s="158">
        <v>0</v>
      </c>
      <c r="I208" s="158">
        <v>247.93</v>
      </c>
      <c r="J208" s="158">
        <f t="shared" si="48"/>
        <v>0</v>
      </c>
      <c r="K208" s="158">
        <v>755.7</v>
      </c>
      <c r="L208" s="158"/>
      <c r="M208" s="158">
        <f t="shared" si="57"/>
        <v>755.7</v>
      </c>
      <c r="N208" s="158">
        <f t="shared" si="58"/>
        <v>29.47606483226537</v>
      </c>
      <c r="O208" s="158">
        <v>755.7</v>
      </c>
      <c r="P208" s="158">
        <v>536.01</v>
      </c>
      <c r="Q208" s="158">
        <v>219.69</v>
      </c>
      <c r="R208" s="158">
        <f t="shared" si="54"/>
        <v>0</v>
      </c>
      <c r="S208" s="158">
        <f t="shared" si="55"/>
        <v>755.7</v>
      </c>
      <c r="T208" s="169" t="s">
        <v>103</v>
      </c>
    </row>
    <row r="209" spans="1:20" ht="42" customHeight="1">
      <c r="A209" s="156">
        <v>2080505</v>
      </c>
      <c r="B209" s="157" t="s">
        <v>281</v>
      </c>
      <c r="C209" s="158">
        <v>1308.19</v>
      </c>
      <c r="D209" s="158"/>
      <c r="E209" s="158">
        <f t="shared" si="56"/>
        <v>1308.19</v>
      </c>
      <c r="F209" s="158">
        <v>407.5</v>
      </c>
      <c r="G209" s="158">
        <v>0</v>
      </c>
      <c r="H209" s="158">
        <v>0</v>
      </c>
      <c r="I209" s="158">
        <v>148.39</v>
      </c>
      <c r="J209" s="158">
        <f t="shared" si="48"/>
        <v>0</v>
      </c>
      <c r="K209" s="158">
        <v>1864.08</v>
      </c>
      <c r="L209" s="158"/>
      <c r="M209" s="158">
        <f t="shared" si="57"/>
        <v>1864.08</v>
      </c>
      <c r="N209" s="158">
        <f t="shared" si="58"/>
        <v>42.49306293428323</v>
      </c>
      <c r="O209" s="158">
        <v>1864.08</v>
      </c>
      <c r="P209" s="158">
        <v>962.1</v>
      </c>
      <c r="Q209" s="158">
        <v>901.98</v>
      </c>
      <c r="R209" s="158">
        <f t="shared" si="54"/>
        <v>0</v>
      </c>
      <c r="S209" s="158">
        <f t="shared" si="55"/>
        <v>1864.08</v>
      </c>
      <c r="T209" s="169" t="s">
        <v>282</v>
      </c>
    </row>
    <row r="210" spans="1:20" ht="45.75" customHeight="1">
      <c r="A210" s="156">
        <v>2080507</v>
      </c>
      <c r="B210" s="157" t="s">
        <v>283</v>
      </c>
      <c r="C210" s="158">
        <v>0</v>
      </c>
      <c r="D210" s="158"/>
      <c r="E210" s="158">
        <f t="shared" si="56"/>
        <v>0</v>
      </c>
      <c r="F210" s="158">
        <v>0</v>
      </c>
      <c r="G210" s="158">
        <v>0</v>
      </c>
      <c r="H210" s="158">
        <v>0</v>
      </c>
      <c r="I210" s="158">
        <v>50</v>
      </c>
      <c r="J210" s="158">
        <f t="shared" si="48"/>
        <v>0</v>
      </c>
      <c r="K210" s="158">
        <v>50</v>
      </c>
      <c r="L210" s="158"/>
      <c r="M210" s="158">
        <f t="shared" si="57"/>
        <v>50</v>
      </c>
      <c r="N210" s="158">
        <v>100</v>
      </c>
      <c r="O210" s="158">
        <v>50</v>
      </c>
      <c r="P210" s="158">
        <v>50</v>
      </c>
      <c r="Q210" s="158">
        <v>0</v>
      </c>
      <c r="R210" s="158">
        <f t="shared" si="54"/>
        <v>0</v>
      </c>
      <c r="S210" s="158">
        <f t="shared" si="55"/>
        <v>50</v>
      </c>
      <c r="T210" s="169" t="s">
        <v>284</v>
      </c>
    </row>
    <row r="211" spans="1:20" ht="64.5" customHeight="1">
      <c r="A211" s="156">
        <v>2080599</v>
      </c>
      <c r="B211" s="157" t="s">
        <v>285</v>
      </c>
      <c r="C211" s="158">
        <v>772.9600000000006</v>
      </c>
      <c r="D211" s="158"/>
      <c r="E211" s="158">
        <f t="shared" si="56"/>
        <v>772.9600000000006</v>
      </c>
      <c r="F211" s="158">
        <v>19.26</v>
      </c>
      <c r="G211" s="158">
        <v>0</v>
      </c>
      <c r="H211" s="158">
        <v>0</v>
      </c>
      <c r="I211" s="158">
        <v>304.79</v>
      </c>
      <c r="J211" s="158">
        <f t="shared" si="48"/>
        <v>0</v>
      </c>
      <c r="K211" s="158">
        <v>1097.01</v>
      </c>
      <c r="L211" s="158"/>
      <c r="M211" s="158">
        <f t="shared" si="57"/>
        <v>1097.01</v>
      </c>
      <c r="N211" s="158">
        <f aca="true" t="shared" si="59" ref="N211:N213">(M211/E211-1)*100</f>
        <v>41.92325605464695</v>
      </c>
      <c r="O211" s="158">
        <v>1097.01</v>
      </c>
      <c r="P211" s="158">
        <v>585.5</v>
      </c>
      <c r="Q211" s="158">
        <v>511.51</v>
      </c>
      <c r="R211" s="158">
        <f t="shared" si="54"/>
        <v>0</v>
      </c>
      <c r="S211" s="158">
        <f t="shared" si="55"/>
        <v>1097.01</v>
      </c>
      <c r="T211" s="169" t="s">
        <v>126</v>
      </c>
    </row>
    <row r="212" spans="1:20" ht="28.5" customHeight="1">
      <c r="A212" s="156">
        <v>20807</v>
      </c>
      <c r="B212" s="157" t="s">
        <v>286</v>
      </c>
      <c r="C212" s="158">
        <v>181.12</v>
      </c>
      <c r="D212" s="158"/>
      <c r="E212" s="158">
        <f t="shared" si="56"/>
        <v>181.12</v>
      </c>
      <c r="F212" s="158">
        <v>0</v>
      </c>
      <c r="G212" s="158">
        <v>0</v>
      </c>
      <c r="H212" s="158">
        <v>0</v>
      </c>
      <c r="I212" s="158">
        <v>-10.5</v>
      </c>
      <c r="J212" s="158">
        <f t="shared" si="48"/>
        <v>686</v>
      </c>
      <c r="K212" s="158">
        <v>170.62</v>
      </c>
      <c r="L212" s="158">
        <v>686</v>
      </c>
      <c r="M212" s="158">
        <f t="shared" si="57"/>
        <v>856.62</v>
      </c>
      <c r="N212" s="158">
        <f t="shared" si="59"/>
        <v>372.9571554770318</v>
      </c>
      <c r="O212" s="158">
        <v>170.62</v>
      </c>
      <c r="P212" s="158">
        <v>66.1</v>
      </c>
      <c r="Q212" s="158">
        <v>104.52</v>
      </c>
      <c r="R212" s="158">
        <f t="shared" si="54"/>
        <v>686</v>
      </c>
      <c r="S212" s="158">
        <f t="shared" si="55"/>
        <v>856.62</v>
      </c>
      <c r="T212" s="169"/>
    </row>
    <row r="213" spans="1:20" ht="28.5" customHeight="1">
      <c r="A213" s="156">
        <v>2080701</v>
      </c>
      <c r="B213" s="157" t="s">
        <v>287</v>
      </c>
      <c r="C213" s="158">
        <v>4</v>
      </c>
      <c r="D213" s="158"/>
      <c r="E213" s="158">
        <f t="shared" si="56"/>
        <v>4</v>
      </c>
      <c r="F213" s="158">
        <v>0</v>
      </c>
      <c r="G213" s="158">
        <v>0</v>
      </c>
      <c r="H213" s="158">
        <v>0</v>
      </c>
      <c r="I213" s="158">
        <v>0</v>
      </c>
      <c r="J213" s="158">
        <f t="shared" si="48"/>
        <v>0</v>
      </c>
      <c r="K213" s="158">
        <v>4</v>
      </c>
      <c r="L213" s="158"/>
      <c r="M213" s="158">
        <f t="shared" si="57"/>
        <v>4</v>
      </c>
      <c r="N213" s="158">
        <f t="shared" si="59"/>
        <v>0</v>
      </c>
      <c r="O213" s="158">
        <v>4</v>
      </c>
      <c r="P213" s="158">
        <v>3</v>
      </c>
      <c r="Q213" s="158">
        <v>1</v>
      </c>
      <c r="R213" s="158">
        <f t="shared" si="54"/>
        <v>0</v>
      </c>
      <c r="S213" s="158">
        <f t="shared" si="55"/>
        <v>4</v>
      </c>
      <c r="T213" s="169"/>
    </row>
    <row r="214" spans="1:20" ht="28.5" customHeight="1">
      <c r="A214" s="156">
        <v>2080702</v>
      </c>
      <c r="B214" s="157" t="s">
        <v>288</v>
      </c>
      <c r="C214" s="158"/>
      <c r="D214" s="158"/>
      <c r="E214" s="158"/>
      <c r="F214" s="158"/>
      <c r="G214" s="158"/>
      <c r="H214" s="158"/>
      <c r="I214" s="158"/>
      <c r="J214" s="158">
        <f t="shared" si="48"/>
        <v>50</v>
      </c>
      <c r="K214" s="158"/>
      <c r="L214" s="158">
        <v>50</v>
      </c>
      <c r="M214" s="158">
        <f>L214+K214</f>
        <v>50</v>
      </c>
      <c r="N214" s="158">
        <v>100</v>
      </c>
      <c r="O214" s="158"/>
      <c r="P214" s="158"/>
      <c r="Q214" s="158"/>
      <c r="R214" s="158">
        <f t="shared" si="54"/>
        <v>50</v>
      </c>
      <c r="S214" s="158">
        <f t="shared" si="55"/>
        <v>50</v>
      </c>
      <c r="T214" s="169" t="s">
        <v>137</v>
      </c>
    </row>
    <row r="215" spans="1:20" ht="28.5" customHeight="1">
      <c r="A215" s="156">
        <v>2080704</v>
      </c>
      <c r="B215" s="157" t="s">
        <v>289</v>
      </c>
      <c r="C215" s="158">
        <v>12</v>
      </c>
      <c r="D215" s="158"/>
      <c r="E215" s="158">
        <f aca="true" t="shared" si="60" ref="E215:E225">C215+D215</f>
        <v>12</v>
      </c>
      <c r="F215" s="158">
        <v>0</v>
      </c>
      <c r="G215" s="158">
        <v>0</v>
      </c>
      <c r="H215" s="158">
        <v>0</v>
      </c>
      <c r="I215" s="158">
        <v>0</v>
      </c>
      <c r="J215" s="158">
        <f t="shared" si="48"/>
        <v>0</v>
      </c>
      <c r="K215" s="158">
        <v>12</v>
      </c>
      <c r="L215" s="158"/>
      <c r="M215" s="158">
        <f aca="true" t="shared" si="61" ref="M215:M225">K215+L215</f>
        <v>12</v>
      </c>
      <c r="N215" s="158">
        <f aca="true" t="shared" si="62" ref="N215:N225">(M215/E215-1)*100</f>
        <v>0</v>
      </c>
      <c r="O215" s="158">
        <v>12</v>
      </c>
      <c r="P215" s="158">
        <v>0</v>
      </c>
      <c r="Q215" s="158">
        <v>12</v>
      </c>
      <c r="R215" s="158">
        <f t="shared" si="54"/>
        <v>0</v>
      </c>
      <c r="S215" s="158">
        <f t="shared" si="55"/>
        <v>12</v>
      </c>
      <c r="T215" s="169"/>
    </row>
    <row r="216" spans="1:20" ht="58.5" customHeight="1">
      <c r="A216" s="156">
        <v>2080705</v>
      </c>
      <c r="B216" s="157" t="s">
        <v>290</v>
      </c>
      <c r="C216" s="158">
        <v>12</v>
      </c>
      <c r="D216" s="158"/>
      <c r="E216" s="158">
        <f t="shared" si="60"/>
        <v>12</v>
      </c>
      <c r="F216" s="158">
        <v>0</v>
      </c>
      <c r="G216" s="158">
        <v>0</v>
      </c>
      <c r="H216" s="158">
        <v>0</v>
      </c>
      <c r="I216" s="158">
        <v>7.5</v>
      </c>
      <c r="J216" s="158">
        <f t="shared" si="48"/>
        <v>0</v>
      </c>
      <c r="K216" s="158">
        <v>19.5</v>
      </c>
      <c r="L216" s="158"/>
      <c r="M216" s="158">
        <f t="shared" si="61"/>
        <v>19.5</v>
      </c>
      <c r="N216" s="158">
        <f t="shared" si="62"/>
        <v>62.5</v>
      </c>
      <c r="O216" s="158">
        <v>19.5</v>
      </c>
      <c r="P216" s="158">
        <v>7.78</v>
      </c>
      <c r="Q216" s="158">
        <v>11.72</v>
      </c>
      <c r="R216" s="158">
        <f t="shared" si="54"/>
        <v>0</v>
      </c>
      <c r="S216" s="158">
        <f t="shared" si="55"/>
        <v>19.5</v>
      </c>
      <c r="T216" s="169" t="s">
        <v>291</v>
      </c>
    </row>
    <row r="217" spans="1:20" ht="28.5" customHeight="1">
      <c r="A217" s="156">
        <v>2080711</v>
      </c>
      <c r="B217" s="157" t="s">
        <v>292</v>
      </c>
      <c r="C217" s="158">
        <v>1</v>
      </c>
      <c r="D217" s="158"/>
      <c r="E217" s="158">
        <f t="shared" si="60"/>
        <v>1</v>
      </c>
      <c r="F217" s="158">
        <v>0</v>
      </c>
      <c r="G217" s="158">
        <v>0</v>
      </c>
      <c r="H217" s="158">
        <v>0</v>
      </c>
      <c r="I217" s="158">
        <v>0</v>
      </c>
      <c r="J217" s="158">
        <f t="shared" si="48"/>
        <v>0</v>
      </c>
      <c r="K217" s="158">
        <v>1</v>
      </c>
      <c r="L217" s="158"/>
      <c r="M217" s="158">
        <f t="shared" si="61"/>
        <v>1</v>
      </c>
      <c r="N217" s="158">
        <f t="shared" si="62"/>
        <v>0</v>
      </c>
      <c r="O217" s="158">
        <v>1</v>
      </c>
      <c r="P217" s="158">
        <v>0</v>
      </c>
      <c r="Q217" s="158">
        <v>1</v>
      </c>
      <c r="R217" s="158">
        <f t="shared" si="54"/>
        <v>0</v>
      </c>
      <c r="S217" s="158">
        <f t="shared" si="55"/>
        <v>1</v>
      </c>
      <c r="T217" s="169"/>
    </row>
    <row r="218" spans="1:20" ht="54" customHeight="1">
      <c r="A218" s="156">
        <v>2080799</v>
      </c>
      <c r="B218" s="157" t="s">
        <v>293</v>
      </c>
      <c r="C218" s="158">
        <v>152.12</v>
      </c>
      <c r="D218" s="158"/>
      <c r="E218" s="158">
        <f t="shared" si="60"/>
        <v>152.12</v>
      </c>
      <c r="F218" s="158">
        <v>0</v>
      </c>
      <c r="G218" s="158">
        <v>0</v>
      </c>
      <c r="H218" s="158">
        <v>0</v>
      </c>
      <c r="I218" s="158">
        <v>-18</v>
      </c>
      <c r="J218" s="158">
        <f t="shared" si="48"/>
        <v>636</v>
      </c>
      <c r="K218" s="158">
        <v>134.12</v>
      </c>
      <c r="L218" s="158">
        <v>636</v>
      </c>
      <c r="M218" s="158">
        <f t="shared" si="61"/>
        <v>770.12</v>
      </c>
      <c r="N218" s="158">
        <f t="shared" si="62"/>
        <v>406.2582171969497</v>
      </c>
      <c r="O218" s="158">
        <v>134.12</v>
      </c>
      <c r="P218" s="158">
        <v>55.32</v>
      </c>
      <c r="Q218" s="158">
        <v>78.8</v>
      </c>
      <c r="R218" s="158">
        <f t="shared" si="54"/>
        <v>636</v>
      </c>
      <c r="S218" s="158">
        <f t="shared" si="55"/>
        <v>770.12</v>
      </c>
      <c r="T218" s="169" t="s">
        <v>294</v>
      </c>
    </row>
    <row r="219" spans="1:20" ht="28.5" customHeight="1">
      <c r="A219" s="156">
        <v>20808</v>
      </c>
      <c r="B219" s="157" t="s">
        <v>295</v>
      </c>
      <c r="C219" s="158">
        <v>560</v>
      </c>
      <c r="D219" s="158">
        <v>10.5</v>
      </c>
      <c r="E219" s="158">
        <f t="shared" si="60"/>
        <v>570.5</v>
      </c>
      <c r="F219" s="158">
        <v>70</v>
      </c>
      <c r="G219" s="158">
        <v>0</v>
      </c>
      <c r="H219" s="158">
        <v>0</v>
      </c>
      <c r="I219" s="158">
        <v>5.329070518200751E-15</v>
      </c>
      <c r="J219" s="158">
        <f t="shared" si="48"/>
        <v>652.673</v>
      </c>
      <c r="K219" s="158">
        <v>630</v>
      </c>
      <c r="L219" s="158">
        <v>663.173</v>
      </c>
      <c r="M219" s="158">
        <f t="shared" si="61"/>
        <v>1293.173</v>
      </c>
      <c r="N219" s="158">
        <f t="shared" si="62"/>
        <v>126.67361963190183</v>
      </c>
      <c r="O219" s="158">
        <v>630</v>
      </c>
      <c r="P219" s="158">
        <v>228.23</v>
      </c>
      <c r="Q219" s="158">
        <v>401.77</v>
      </c>
      <c r="R219" s="158">
        <f t="shared" si="54"/>
        <v>663.173</v>
      </c>
      <c r="S219" s="158">
        <f t="shared" si="55"/>
        <v>1293.173</v>
      </c>
      <c r="T219" s="169"/>
    </row>
    <row r="220" spans="1:20" ht="51.75" customHeight="1">
      <c r="A220" s="156">
        <v>2080801</v>
      </c>
      <c r="B220" s="157" t="s">
        <v>296</v>
      </c>
      <c r="C220" s="158">
        <v>300</v>
      </c>
      <c r="D220" s="158"/>
      <c r="E220" s="158">
        <f t="shared" si="60"/>
        <v>300</v>
      </c>
      <c r="F220" s="158">
        <v>70</v>
      </c>
      <c r="G220" s="158">
        <v>0</v>
      </c>
      <c r="H220" s="158">
        <v>0</v>
      </c>
      <c r="I220" s="158">
        <v>5.329070518200751E-15</v>
      </c>
      <c r="J220" s="158">
        <f t="shared" si="48"/>
        <v>11</v>
      </c>
      <c r="K220" s="158">
        <v>370</v>
      </c>
      <c r="L220" s="158">
        <v>11</v>
      </c>
      <c r="M220" s="158">
        <f t="shared" si="61"/>
        <v>381</v>
      </c>
      <c r="N220" s="158">
        <f t="shared" si="62"/>
        <v>27</v>
      </c>
      <c r="O220" s="158">
        <v>370</v>
      </c>
      <c r="P220" s="158">
        <v>175.48</v>
      </c>
      <c r="Q220" s="158">
        <v>194.52</v>
      </c>
      <c r="R220" s="158">
        <f t="shared" si="54"/>
        <v>11</v>
      </c>
      <c r="S220" s="158">
        <f t="shared" si="55"/>
        <v>381</v>
      </c>
      <c r="T220" s="169" t="s">
        <v>297</v>
      </c>
    </row>
    <row r="221" spans="1:20" ht="36.75" customHeight="1">
      <c r="A221" s="156">
        <v>2080803</v>
      </c>
      <c r="B221" s="157" t="s">
        <v>298</v>
      </c>
      <c r="C221" s="158">
        <v>20</v>
      </c>
      <c r="D221" s="158">
        <v>10.5</v>
      </c>
      <c r="E221" s="158">
        <f t="shared" si="60"/>
        <v>30.5</v>
      </c>
      <c r="F221" s="158">
        <v>0</v>
      </c>
      <c r="G221" s="158">
        <v>0</v>
      </c>
      <c r="H221" s="158">
        <v>0</v>
      </c>
      <c r="I221" s="158">
        <v>0</v>
      </c>
      <c r="J221" s="158">
        <f t="shared" si="48"/>
        <v>480.053</v>
      </c>
      <c r="K221" s="158">
        <v>20</v>
      </c>
      <c r="L221" s="158">
        <v>490.553</v>
      </c>
      <c r="M221" s="158">
        <f t="shared" si="61"/>
        <v>510.553</v>
      </c>
      <c r="N221" s="158">
        <f t="shared" si="62"/>
        <v>1573.944262295082</v>
      </c>
      <c r="O221" s="158">
        <v>20</v>
      </c>
      <c r="P221" s="158">
        <v>20</v>
      </c>
      <c r="Q221" s="158">
        <v>0</v>
      </c>
      <c r="R221" s="158">
        <f t="shared" si="54"/>
        <v>490.553</v>
      </c>
      <c r="S221" s="158">
        <f t="shared" si="55"/>
        <v>510.553</v>
      </c>
      <c r="T221" s="169" t="s">
        <v>137</v>
      </c>
    </row>
    <row r="222" spans="1:20" ht="28.5" customHeight="1">
      <c r="A222" s="156">
        <v>2080805</v>
      </c>
      <c r="B222" s="157" t="s">
        <v>299</v>
      </c>
      <c r="C222" s="158">
        <v>200</v>
      </c>
      <c r="D222" s="158"/>
      <c r="E222" s="158">
        <f t="shared" si="60"/>
        <v>200</v>
      </c>
      <c r="F222" s="158">
        <v>0</v>
      </c>
      <c r="G222" s="158">
        <v>0</v>
      </c>
      <c r="H222" s="158">
        <v>0</v>
      </c>
      <c r="I222" s="158">
        <v>0</v>
      </c>
      <c r="J222" s="158">
        <f t="shared" si="48"/>
        <v>61.62</v>
      </c>
      <c r="K222" s="158">
        <v>200</v>
      </c>
      <c r="L222" s="158">
        <v>61.62</v>
      </c>
      <c r="M222" s="158">
        <f t="shared" si="61"/>
        <v>261.62</v>
      </c>
      <c r="N222" s="158">
        <f t="shared" si="62"/>
        <v>30.810000000000002</v>
      </c>
      <c r="O222" s="158">
        <v>200</v>
      </c>
      <c r="P222" s="158">
        <v>0</v>
      </c>
      <c r="Q222" s="158">
        <v>200</v>
      </c>
      <c r="R222" s="158">
        <f t="shared" si="54"/>
        <v>61.62</v>
      </c>
      <c r="S222" s="158">
        <f t="shared" si="55"/>
        <v>261.62</v>
      </c>
      <c r="T222" s="169" t="s">
        <v>137</v>
      </c>
    </row>
    <row r="223" spans="1:20" ht="37.5" customHeight="1">
      <c r="A223" s="156">
        <v>2080806</v>
      </c>
      <c r="B223" s="157" t="s">
        <v>300</v>
      </c>
      <c r="C223" s="158">
        <v>40</v>
      </c>
      <c r="D223" s="158"/>
      <c r="E223" s="158">
        <f t="shared" si="60"/>
        <v>40</v>
      </c>
      <c r="F223" s="158">
        <v>0</v>
      </c>
      <c r="G223" s="158">
        <v>0</v>
      </c>
      <c r="H223" s="158">
        <v>0</v>
      </c>
      <c r="I223" s="158">
        <v>0</v>
      </c>
      <c r="J223" s="158">
        <f t="shared" si="48"/>
        <v>100</v>
      </c>
      <c r="K223" s="158">
        <v>40</v>
      </c>
      <c r="L223" s="158">
        <v>100</v>
      </c>
      <c r="M223" s="158">
        <f t="shared" si="61"/>
        <v>140</v>
      </c>
      <c r="N223" s="158">
        <f t="shared" si="62"/>
        <v>250</v>
      </c>
      <c r="O223" s="158">
        <v>40</v>
      </c>
      <c r="P223" s="158">
        <v>32.75</v>
      </c>
      <c r="Q223" s="158">
        <v>7.25</v>
      </c>
      <c r="R223" s="158">
        <f t="shared" si="54"/>
        <v>100</v>
      </c>
      <c r="S223" s="158">
        <f t="shared" si="55"/>
        <v>140</v>
      </c>
      <c r="T223" s="169" t="s">
        <v>137</v>
      </c>
    </row>
    <row r="224" spans="1:20" ht="28.5" customHeight="1">
      <c r="A224" s="156">
        <v>20809</v>
      </c>
      <c r="B224" s="157" t="s">
        <v>301</v>
      </c>
      <c r="C224" s="158">
        <v>163</v>
      </c>
      <c r="D224" s="158"/>
      <c r="E224" s="158">
        <f t="shared" si="60"/>
        <v>163</v>
      </c>
      <c r="F224" s="158">
        <v>0</v>
      </c>
      <c r="G224" s="158">
        <v>0</v>
      </c>
      <c r="H224" s="158">
        <v>0</v>
      </c>
      <c r="I224" s="158">
        <v>2.82</v>
      </c>
      <c r="J224" s="158">
        <f t="shared" si="48"/>
        <v>164.8</v>
      </c>
      <c r="K224" s="158">
        <v>165.82</v>
      </c>
      <c r="L224" s="158">
        <v>164.8</v>
      </c>
      <c r="M224" s="158">
        <f t="shared" si="61"/>
        <v>330.62</v>
      </c>
      <c r="N224" s="158">
        <f t="shared" si="62"/>
        <v>102.83435582822085</v>
      </c>
      <c r="O224" s="158">
        <v>165.82</v>
      </c>
      <c r="P224" s="158">
        <v>3.06</v>
      </c>
      <c r="Q224" s="158">
        <v>162.76</v>
      </c>
      <c r="R224" s="158">
        <f t="shared" si="54"/>
        <v>164.8</v>
      </c>
      <c r="S224" s="158">
        <f t="shared" si="55"/>
        <v>330.62</v>
      </c>
      <c r="T224" s="169"/>
    </row>
    <row r="225" spans="1:20" s="75" customFormat="1" ht="28.5" customHeight="1">
      <c r="A225" s="156">
        <v>2080901</v>
      </c>
      <c r="B225" s="157" t="s">
        <v>302</v>
      </c>
      <c r="C225" s="158">
        <v>163</v>
      </c>
      <c r="D225" s="158"/>
      <c r="E225" s="158">
        <f t="shared" si="60"/>
        <v>163</v>
      </c>
      <c r="F225" s="158">
        <v>0</v>
      </c>
      <c r="G225" s="158">
        <v>0</v>
      </c>
      <c r="H225" s="158">
        <v>0</v>
      </c>
      <c r="I225" s="158">
        <v>2.82</v>
      </c>
      <c r="J225" s="158">
        <f t="shared" si="48"/>
        <v>140</v>
      </c>
      <c r="K225" s="158">
        <v>165.82</v>
      </c>
      <c r="L225" s="158">
        <v>140</v>
      </c>
      <c r="M225" s="158">
        <f t="shared" si="61"/>
        <v>305.82</v>
      </c>
      <c r="N225" s="158">
        <f t="shared" si="62"/>
        <v>87.61963190184048</v>
      </c>
      <c r="O225" s="158">
        <v>165.82</v>
      </c>
      <c r="P225" s="158">
        <v>3.06</v>
      </c>
      <c r="Q225" s="158">
        <v>162.76</v>
      </c>
      <c r="R225" s="158">
        <f t="shared" si="54"/>
        <v>140</v>
      </c>
      <c r="S225" s="158">
        <f t="shared" si="55"/>
        <v>305.82</v>
      </c>
      <c r="T225" s="169" t="s">
        <v>165</v>
      </c>
    </row>
    <row r="226" spans="1:20" ht="36.75" customHeight="1">
      <c r="A226" s="156">
        <v>2080902</v>
      </c>
      <c r="B226" s="157" t="s">
        <v>303</v>
      </c>
      <c r="C226" s="158"/>
      <c r="D226" s="158"/>
      <c r="E226" s="158"/>
      <c r="F226" s="158"/>
      <c r="G226" s="158"/>
      <c r="H226" s="158"/>
      <c r="I226" s="158"/>
      <c r="J226" s="158">
        <f t="shared" si="48"/>
        <v>24</v>
      </c>
      <c r="K226" s="158"/>
      <c r="L226" s="158">
        <v>24</v>
      </c>
      <c r="M226" s="158">
        <f>L226+K226</f>
        <v>24</v>
      </c>
      <c r="N226" s="158">
        <v>100</v>
      </c>
      <c r="O226" s="158"/>
      <c r="P226" s="158"/>
      <c r="Q226" s="158"/>
      <c r="R226" s="158">
        <f t="shared" si="54"/>
        <v>24</v>
      </c>
      <c r="S226" s="158">
        <f t="shared" si="55"/>
        <v>24</v>
      </c>
      <c r="T226" s="169" t="s">
        <v>137</v>
      </c>
    </row>
    <row r="227" spans="1:20" ht="36.75" customHeight="1">
      <c r="A227" s="156">
        <v>2080903</v>
      </c>
      <c r="B227" s="157" t="s">
        <v>304</v>
      </c>
      <c r="C227" s="158"/>
      <c r="D227" s="158"/>
      <c r="E227" s="158"/>
      <c r="F227" s="158"/>
      <c r="G227" s="158"/>
      <c r="H227" s="158"/>
      <c r="I227" s="158"/>
      <c r="J227" s="158">
        <f t="shared" si="48"/>
        <v>0.8</v>
      </c>
      <c r="K227" s="158"/>
      <c r="L227" s="158">
        <v>0.8</v>
      </c>
      <c r="M227" s="158">
        <f>L227+K227</f>
        <v>0.8</v>
      </c>
      <c r="N227" s="158">
        <v>100</v>
      </c>
      <c r="O227" s="158"/>
      <c r="P227" s="158"/>
      <c r="Q227" s="158"/>
      <c r="R227" s="158">
        <f t="shared" si="54"/>
        <v>0.8</v>
      </c>
      <c r="S227" s="158">
        <f t="shared" si="55"/>
        <v>0.8</v>
      </c>
      <c r="T227" s="169" t="s">
        <v>137</v>
      </c>
    </row>
    <row r="228" spans="1:20" ht="28.5" customHeight="1">
      <c r="A228" s="156">
        <v>20810</v>
      </c>
      <c r="B228" s="157" t="s">
        <v>305</v>
      </c>
      <c r="C228" s="158">
        <v>373.52</v>
      </c>
      <c r="D228" s="158"/>
      <c r="E228" s="158">
        <f aca="true" t="shared" si="63" ref="E228:E250">C228+D228</f>
        <v>373.52</v>
      </c>
      <c r="F228" s="158">
        <v>157</v>
      </c>
      <c r="G228" s="158">
        <v>0</v>
      </c>
      <c r="H228" s="158">
        <v>0</v>
      </c>
      <c r="I228" s="158">
        <v>3.3</v>
      </c>
      <c r="J228" s="158">
        <f t="shared" si="48"/>
        <v>144</v>
      </c>
      <c r="K228" s="158">
        <v>533.82</v>
      </c>
      <c r="L228" s="158">
        <v>144</v>
      </c>
      <c r="M228" s="158">
        <f aca="true" t="shared" si="64" ref="M228:M275">K228+L228</f>
        <v>677.82</v>
      </c>
      <c r="N228" s="158">
        <f aca="true" t="shared" si="65" ref="N228:N250">(M228/E228-1)*100</f>
        <v>81.46819447419149</v>
      </c>
      <c r="O228" s="158">
        <v>533.82</v>
      </c>
      <c r="P228" s="158">
        <v>127.23</v>
      </c>
      <c r="Q228" s="158">
        <v>406.59</v>
      </c>
      <c r="R228" s="158">
        <f t="shared" si="54"/>
        <v>144</v>
      </c>
      <c r="S228" s="158">
        <f t="shared" si="55"/>
        <v>677.82</v>
      </c>
      <c r="T228" s="169"/>
    </row>
    <row r="229" spans="1:20" ht="28.5" customHeight="1">
      <c r="A229" s="156">
        <v>2081001</v>
      </c>
      <c r="B229" s="157" t="s">
        <v>306</v>
      </c>
      <c r="C229" s="158">
        <v>29.17</v>
      </c>
      <c r="D229" s="158"/>
      <c r="E229" s="158">
        <f t="shared" si="63"/>
        <v>29.17</v>
      </c>
      <c r="F229" s="158">
        <v>0</v>
      </c>
      <c r="G229" s="158">
        <v>0</v>
      </c>
      <c r="H229" s="158">
        <v>0</v>
      </c>
      <c r="I229" s="158">
        <v>0</v>
      </c>
      <c r="J229" s="158">
        <f t="shared" si="48"/>
        <v>0</v>
      </c>
      <c r="K229" s="158">
        <v>29.17</v>
      </c>
      <c r="L229" s="158"/>
      <c r="M229" s="158">
        <f t="shared" si="64"/>
        <v>29.17</v>
      </c>
      <c r="N229" s="158">
        <f t="shared" si="65"/>
        <v>0</v>
      </c>
      <c r="O229" s="158">
        <v>29.17</v>
      </c>
      <c r="P229" s="158">
        <v>8.95</v>
      </c>
      <c r="Q229" s="158">
        <v>20.22</v>
      </c>
      <c r="R229" s="158">
        <f t="shared" si="54"/>
        <v>0</v>
      </c>
      <c r="S229" s="158">
        <f t="shared" si="55"/>
        <v>29.17</v>
      </c>
      <c r="T229" s="169"/>
    </row>
    <row r="230" spans="1:20" ht="34.5" customHeight="1">
      <c r="A230" s="156">
        <v>2081002</v>
      </c>
      <c r="B230" s="157" t="s">
        <v>307</v>
      </c>
      <c r="C230" s="158">
        <v>183</v>
      </c>
      <c r="D230" s="158"/>
      <c r="E230" s="158">
        <f t="shared" si="63"/>
        <v>183</v>
      </c>
      <c r="F230" s="158">
        <v>97</v>
      </c>
      <c r="G230" s="158">
        <v>0</v>
      </c>
      <c r="H230" s="158">
        <v>0</v>
      </c>
      <c r="I230" s="158">
        <v>0</v>
      </c>
      <c r="J230" s="158">
        <f t="shared" si="48"/>
        <v>92</v>
      </c>
      <c r="K230" s="158">
        <v>280</v>
      </c>
      <c r="L230" s="158">
        <v>92</v>
      </c>
      <c r="M230" s="158">
        <f t="shared" si="64"/>
        <v>372</v>
      </c>
      <c r="N230" s="158">
        <f t="shared" si="65"/>
        <v>103.27868852459017</v>
      </c>
      <c r="O230" s="158">
        <v>280</v>
      </c>
      <c r="P230" s="158">
        <v>0.94</v>
      </c>
      <c r="Q230" s="158">
        <v>279.06</v>
      </c>
      <c r="R230" s="158">
        <f t="shared" si="54"/>
        <v>92</v>
      </c>
      <c r="S230" s="158">
        <f t="shared" si="55"/>
        <v>372</v>
      </c>
      <c r="T230" s="169" t="s">
        <v>308</v>
      </c>
    </row>
    <row r="231" spans="1:20" ht="28.5" customHeight="1">
      <c r="A231" s="156">
        <v>2081004</v>
      </c>
      <c r="B231" s="157" t="s">
        <v>309</v>
      </c>
      <c r="C231" s="158">
        <v>121.34</v>
      </c>
      <c r="D231" s="158"/>
      <c r="E231" s="158">
        <f t="shared" si="63"/>
        <v>121.34</v>
      </c>
      <c r="F231" s="158">
        <v>60</v>
      </c>
      <c r="G231" s="158">
        <v>0</v>
      </c>
      <c r="H231" s="158">
        <v>0</v>
      </c>
      <c r="I231" s="158">
        <v>0</v>
      </c>
      <c r="J231" s="158">
        <f t="shared" si="48"/>
        <v>52</v>
      </c>
      <c r="K231" s="158">
        <v>181.34</v>
      </c>
      <c r="L231" s="158">
        <v>52</v>
      </c>
      <c r="M231" s="158">
        <f t="shared" si="64"/>
        <v>233.34</v>
      </c>
      <c r="N231" s="158">
        <f t="shared" si="65"/>
        <v>92.30262073512445</v>
      </c>
      <c r="O231" s="158">
        <v>181.34</v>
      </c>
      <c r="P231" s="158">
        <v>86.51</v>
      </c>
      <c r="Q231" s="158">
        <v>94.83</v>
      </c>
      <c r="R231" s="158">
        <f t="shared" si="54"/>
        <v>52</v>
      </c>
      <c r="S231" s="158">
        <f t="shared" si="55"/>
        <v>233.34</v>
      </c>
      <c r="T231" s="169" t="s">
        <v>310</v>
      </c>
    </row>
    <row r="232" spans="1:20" ht="57" customHeight="1">
      <c r="A232" s="156">
        <v>2081005</v>
      </c>
      <c r="B232" s="157" t="s">
        <v>311</v>
      </c>
      <c r="C232" s="158">
        <v>40.01</v>
      </c>
      <c r="D232" s="158"/>
      <c r="E232" s="158">
        <f t="shared" si="63"/>
        <v>40.01</v>
      </c>
      <c r="F232" s="158">
        <v>0</v>
      </c>
      <c r="G232" s="158">
        <v>0</v>
      </c>
      <c r="H232" s="158">
        <v>0</v>
      </c>
      <c r="I232" s="158">
        <v>3.3</v>
      </c>
      <c r="J232" s="158">
        <f t="shared" si="48"/>
        <v>0</v>
      </c>
      <c r="K232" s="158">
        <v>43.31</v>
      </c>
      <c r="L232" s="158"/>
      <c r="M232" s="158">
        <f t="shared" si="64"/>
        <v>43.31</v>
      </c>
      <c r="N232" s="158">
        <f t="shared" si="65"/>
        <v>8.247938015496148</v>
      </c>
      <c r="O232" s="158">
        <v>43.31</v>
      </c>
      <c r="P232" s="158">
        <v>30.83</v>
      </c>
      <c r="Q232" s="158">
        <v>12.48</v>
      </c>
      <c r="R232" s="158">
        <f t="shared" si="54"/>
        <v>0</v>
      </c>
      <c r="S232" s="158">
        <f t="shared" si="55"/>
        <v>43.31</v>
      </c>
      <c r="T232" s="169" t="s">
        <v>88</v>
      </c>
    </row>
    <row r="233" spans="1:20" ht="28.5" customHeight="1">
      <c r="A233" s="156">
        <v>20811</v>
      </c>
      <c r="B233" s="157" t="s">
        <v>312</v>
      </c>
      <c r="C233" s="158">
        <v>1078.11</v>
      </c>
      <c r="D233" s="158"/>
      <c r="E233" s="158">
        <f t="shared" si="63"/>
        <v>1078.11</v>
      </c>
      <c r="F233" s="158">
        <v>-0.49</v>
      </c>
      <c r="G233" s="158">
        <v>0</v>
      </c>
      <c r="H233" s="158">
        <v>0</v>
      </c>
      <c r="I233" s="158">
        <v>83.35</v>
      </c>
      <c r="J233" s="158">
        <f t="shared" si="48"/>
        <v>1432.7782000000002</v>
      </c>
      <c r="K233" s="158">
        <v>1160.97</v>
      </c>
      <c r="L233" s="158">
        <v>1432.7782000000002</v>
      </c>
      <c r="M233" s="158">
        <f t="shared" si="64"/>
        <v>2593.7482</v>
      </c>
      <c r="N233" s="158">
        <f t="shared" si="65"/>
        <v>140.58289042862046</v>
      </c>
      <c r="O233" s="158">
        <v>1160.97</v>
      </c>
      <c r="P233" s="158">
        <v>542.24</v>
      </c>
      <c r="Q233" s="158">
        <v>618.73</v>
      </c>
      <c r="R233" s="158">
        <f t="shared" si="54"/>
        <v>1432.7782000000002</v>
      </c>
      <c r="S233" s="158">
        <f t="shared" si="55"/>
        <v>2593.7482</v>
      </c>
      <c r="T233" s="169"/>
    </row>
    <row r="234" spans="1:20" ht="60" customHeight="1">
      <c r="A234" s="156">
        <v>2081101</v>
      </c>
      <c r="B234" s="157" t="s">
        <v>87</v>
      </c>
      <c r="C234" s="158">
        <v>110.79</v>
      </c>
      <c r="D234" s="158"/>
      <c r="E234" s="158">
        <f t="shared" si="63"/>
        <v>110.79</v>
      </c>
      <c r="F234" s="158">
        <v>0.01</v>
      </c>
      <c r="G234" s="158">
        <v>0</v>
      </c>
      <c r="H234" s="158">
        <v>0</v>
      </c>
      <c r="I234" s="158">
        <v>28.43</v>
      </c>
      <c r="J234" s="158">
        <f t="shared" si="48"/>
        <v>0</v>
      </c>
      <c r="K234" s="158">
        <v>139.23</v>
      </c>
      <c r="L234" s="158"/>
      <c r="M234" s="158">
        <f t="shared" si="64"/>
        <v>139.23</v>
      </c>
      <c r="N234" s="158">
        <f t="shared" si="65"/>
        <v>25.670186839967492</v>
      </c>
      <c r="O234" s="158">
        <v>139.23</v>
      </c>
      <c r="P234" s="158">
        <v>93.77</v>
      </c>
      <c r="Q234" s="158">
        <v>45.46</v>
      </c>
      <c r="R234" s="158">
        <f t="shared" si="54"/>
        <v>0</v>
      </c>
      <c r="S234" s="158">
        <f t="shared" si="55"/>
        <v>139.23</v>
      </c>
      <c r="T234" s="169" t="s">
        <v>88</v>
      </c>
    </row>
    <row r="235" spans="1:20" ht="28.5" customHeight="1">
      <c r="A235" s="156">
        <v>2081104</v>
      </c>
      <c r="B235" s="157" t="s">
        <v>313</v>
      </c>
      <c r="C235" s="158">
        <v>506</v>
      </c>
      <c r="D235" s="158"/>
      <c r="E235" s="158">
        <f t="shared" si="63"/>
        <v>506</v>
      </c>
      <c r="F235" s="158">
        <v>0</v>
      </c>
      <c r="G235" s="158">
        <v>0</v>
      </c>
      <c r="H235" s="158">
        <v>0</v>
      </c>
      <c r="I235" s="158">
        <v>0</v>
      </c>
      <c r="J235" s="158">
        <f t="shared" si="48"/>
        <v>0</v>
      </c>
      <c r="K235" s="158">
        <v>506</v>
      </c>
      <c r="L235" s="158"/>
      <c r="M235" s="158">
        <f t="shared" si="64"/>
        <v>506</v>
      </c>
      <c r="N235" s="158">
        <f t="shared" si="65"/>
        <v>0</v>
      </c>
      <c r="O235" s="158">
        <v>506</v>
      </c>
      <c r="P235" s="158">
        <v>87.15</v>
      </c>
      <c r="Q235" s="158">
        <v>418.85</v>
      </c>
      <c r="R235" s="158">
        <f t="shared" si="54"/>
        <v>0</v>
      </c>
      <c r="S235" s="158">
        <f t="shared" si="55"/>
        <v>506</v>
      </c>
      <c r="T235" s="169"/>
    </row>
    <row r="236" spans="1:20" ht="28.5" customHeight="1">
      <c r="A236" s="156">
        <v>2081107</v>
      </c>
      <c r="B236" s="157" t="s">
        <v>314</v>
      </c>
      <c r="C236" s="158">
        <v>437</v>
      </c>
      <c r="D236" s="158"/>
      <c r="E236" s="158">
        <f t="shared" si="63"/>
        <v>437</v>
      </c>
      <c r="F236" s="158">
        <v>0</v>
      </c>
      <c r="G236" s="158">
        <v>0</v>
      </c>
      <c r="H236" s="158">
        <v>0</v>
      </c>
      <c r="I236" s="158">
        <v>0</v>
      </c>
      <c r="J236" s="158">
        <f t="shared" si="48"/>
        <v>0</v>
      </c>
      <c r="K236" s="158">
        <v>437</v>
      </c>
      <c r="L236" s="158"/>
      <c r="M236" s="158">
        <f t="shared" si="64"/>
        <v>437</v>
      </c>
      <c r="N236" s="158">
        <f t="shared" si="65"/>
        <v>0</v>
      </c>
      <c r="O236" s="158">
        <v>437</v>
      </c>
      <c r="P236" s="158">
        <v>300</v>
      </c>
      <c r="Q236" s="158">
        <v>137</v>
      </c>
      <c r="R236" s="158">
        <f t="shared" si="54"/>
        <v>0</v>
      </c>
      <c r="S236" s="158">
        <f t="shared" si="55"/>
        <v>437</v>
      </c>
      <c r="T236" s="169"/>
    </row>
    <row r="237" spans="1:20" ht="75.75" customHeight="1">
      <c r="A237" s="156">
        <v>2081199</v>
      </c>
      <c r="B237" s="157" t="s">
        <v>315</v>
      </c>
      <c r="C237" s="158">
        <v>24.32</v>
      </c>
      <c r="D237" s="158"/>
      <c r="E237" s="158">
        <f t="shared" si="63"/>
        <v>24.32</v>
      </c>
      <c r="F237" s="158">
        <v>-0.5</v>
      </c>
      <c r="G237" s="158">
        <v>0</v>
      </c>
      <c r="H237" s="158">
        <v>0</v>
      </c>
      <c r="I237" s="158">
        <v>54.92</v>
      </c>
      <c r="J237" s="158">
        <f t="shared" si="48"/>
        <v>1432.7782000000002</v>
      </c>
      <c r="K237" s="158">
        <v>78.74</v>
      </c>
      <c r="L237" s="158">
        <v>1432.7782000000002</v>
      </c>
      <c r="M237" s="158">
        <f t="shared" si="64"/>
        <v>1511.5182000000002</v>
      </c>
      <c r="N237" s="158">
        <f t="shared" si="65"/>
        <v>6115.12417763158</v>
      </c>
      <c r="O237" s="158">
        <v>78.74</v>
      </c>
      <c r="P237" s="158">
        <v>61.32</v>
      </c>
      <c r="Q237" s="158">
        <v>17.42</v>
      </c>
      <c r="R237" s="158">
        <f t="shared" si="54"/>
        <v>1432.7782000000002</v>
      </c>
      <c r="S237" s="158">
        <f t="shared" si="55"/>
        <v>1511.5182000000002</v>
      </c>
      <c r="T237" s="169" t="s">
        <v>316</v>
      </c>
    </row>
    <row r="238" spans="1:20" ht="28.5" customHeight="1">
      <c r="A238" s="156">
        <v>20816</v>
      </c>
      <c r="B238" s="157" t="s">
        <v>317</v>
      </c>
      <c r="C238" s="158">
        <v>51.71</v>
      </c>
      <c r="D238" s="158"/>
      <c r="E238" s="158">
        <f t="shared" si="63"/>
        <v>51.71</v>
      </c>
      <c r="F238" s="158">
        <v>0</v>
      </c>
      <c r="G238" s="158">
        <v>0</v>
      </c>
      <c r="H238" s="158">
        <v>0</v>
      </c>
      <c r="I238" s="158">
        <v>4.28</v>
      </c>
      <c r="J238" s="158">
        <f t="shared" si="48"/>
        <v>0</v>
      </c>
      <c r="K238" s="158">
        <v>55.99</v>
      </c>
      <c r="L238" s="158"/>
      <c r="M238" s="158">
        <f t="shared" si="64"/>
        <v>55.99</v>
      </c>
      <c r="N238" s="158">
        <f t="shared" si="65"/>
        <v>8.276929027267466</v>
      </c>
      <c r="O238" s="158">
        <v>55.99</v>
      </c>
      <c r="P238" s="158">
        <v>40.13</v>
      </c>
      <c r="Q238" s="158">
        <v>15.86</v>
      </c>
      <c r="R238" s="158">
        <f t="shared" si="54"/>
        <v>0</v>
      </c>
      <c r="S238" s="158">
        <f t="shared" si="55"/>
        <v>55.99</v>
      </c>
      <c r="T238" s="169"/>
    </row>
    <row r="239" spans="1:20" ht="60" customHeight="1">
      <c r="A239" s="156">
        <v>2081601</v>
      </c>
      <c r="B239" s="157" t="s">
        <v>87</v>
      </c>
      <c r="C239" s="158">
        <v>28.71</v>
      </c>
      <c r="D239" s="158"/>
      <c r="E239" s="158">
        <f t="shared" si="63"/>
        <v>28.71</v>
      </c>
      <c r="F239" s="158">
        <v>0</v>
      </c>
      <c r="G239" s="158">
        <v>0</v>
      </c>
      <c r="H239" s="158">
        <v>0</v>
      </c>
      <c r="I239" s="158">
        <v>4.28</v>
      </c>
      <c r="J239" s="158">
        <f t="shared" si="48"/>
        <v>0</v>
      </c>
      <c r="K239" s="158">
        <v>32.99</v>
      </c>
      <c r="L239" s="158"/>
      <c r="M239" s="158">
        <f t="shared" si="64"/>
        <v>32.99</v>
      </c>
      <c r="N239" s="158">
        <f t="shared" si="65"/>
        <v>14.907697666318365</v>
      </c>
      <c r="O239" s="158">
        <v>32.99</v>
      </c>
      <c r="P239" s="158">
        <v>21.13</v>
      </c>
      <c r="Q239" s="158">
        <v>11.86</v>
      </c>
      <c r="R239" s="158">
        <f t="shared" si="54"/>
        <v>0</v>
      </c>
      <c r="S239" s="158">
        <f t="shared" si="55"/>
        <v>32.99</v>
      </c>
      <c r="T239" s="169" t="s">
        <v>88</v>
      </c>
    </row>
    <row r="240" spans="1:20" ht="28.5" customHeight="1">
      <c r="A240" s="156">
        <v>2081699</v>
      </c>
      <c r="B240" s="157" t="s">
        <v>318</v>
      </c>
      <c r="C240" s="158">
        <v>23</v>
      </c>
      <c r="D240" s="158"/>
      <c r="E240" s="158">
        <f t="shared" si="63"/>
        <v>23</v>
      </c>
      <c r="F240" s="158">
        <v>0</v>
      </c>
      <c r="G240" s="158">
        <v>0</v>
      </c>
      <c r="H240" s="158">
        <v>0</v>
      </c>
      <c r="I240" s="158">
        <v>0</v>
      </c>
      <c r="J240" s="158">
        <f t="shared" si="48"/>
        <v>0</v>
      </c>
      <c r="K240" s="158">
        <v>23</v>
      </c>
      <c r="L240" s="158"/>
      <c r="M240" s="158">
        <f t="shared" si="64"/>
        <v>23</v>
      </c>
      <c r="N240" s="158">
        <f t="shared" si="65"/>
        <v>0</v>
      </c>
      <c r="O240" s="158">
        <v>23</v>
      </c>
      <c r="P240" s="158">
        <v>19</v>
      </c>
      <c r="Q240" s="158">
        <v>4</v>
      </c>
      <c r="R240" s="158">
        <f t="shared" si="54"/>
        <v>0</v>
      </c>
      <c r="S240" s="158">
        <f t="shared" si="55"/>
        <v>23</v>
      </c>
      <c r="T240" s="169"/>
    </row>
    <row r="241" spans="1:20" ht="28.5" customHeight="1">
      <c r="A241" s="156">
        <v>20819</v>
      </c>
      <c r="B241" s="157" t="s">
        <v>319</v>
      </c>
      <c r="C241" s="158">
        <v>600</v>
      </c>
      <c r="D241" s="158"/>
      <c r="E241" s="158">
        <f t="shared" si="63"/>
        <v>600</v>
      </c>
      <c r="F241" s="158">
        <v>0</v>
      </c>
      <c r="G241" s="158">
        <v>0</v>
      </c>
      <c r="H241" s="158">
        <v>0</v>
      </c>
      <c r="I241" s="158">
        <v>0</v>
      </c>
      <c r="J241" s="158">
        <f t="shared" si="48"/>
        <v>3025.5</v>
      </c>
      <c r="K241" s="158">
        <v>600</v>
      </c>
      <c r="L241" s="158">
        <v>3025.5</v>
      </c>
      <c r="M241" s="158">
        <f t="shared" si="64"/>
        <v>3625.5</v>
      </c>
      <c r="N241" s="158">
        <f t="shared" si="65"/>
        <v>504.25000000000006</v>
      </c>
      <c r="O241" s="158">
        <v>600</v>
      </c>
      <c r="P241" s="158">
        <v>248.11</v>
      </c>
      <c r="Q241" s="158">
        <v>351.89</v>
      </c>
      <c r="R241" s="158">
        <f t="shared" si="54"/>
        <v>3025.5</v>
      </c>
      <c r="S241" s="158">
        <f t="shared" si="55"/>
        <v>3625.5</v>
      </c>
      <c r="T241" s="169"/>
    </row>
    <row r="242" spans="1:20" ht="28.5" customHeight="1">
      <c r="A242" s="156">
        <v>2081901</v>
      </c>
      <c r="B242" s="157" t="s">
        <v>320</v>
      </c>
      <c r="C242" s="158">
        <v>200</v>
      </c>
      <c r="D242" s="158"/>
      <c r="E242" s="158">
        <f t="shared" si="63"/>
        <v>200</v>
      </c>
      <c r="F242" s="158">
        <v>0</v>
      </c>
      <c r="G242" s="158">
        <v>0</v>
      </c>
      <c r="H242" s="158">
        <v>0</v>
      </c>
      <c r="I242" s="158">
        <v>0</v>
      </c>
      <c r="J242" s="158">
        <f aca="true" t="shared" si="66" ref="J242:J305">L242-D242</f>
        <v>1379.5</v>
      </c>
      <c r="K242" s="158">
        <v>200</v>
      </c>
      <c r="L242" s="158">
        <v>1379.5</v>
      </c>
      <c r="M242" s="158">
        <f t="shared" si="64"/>
        <v>1579.5</v>
      </c>
      <c r="N242" s="158">
        <f t="shared" si="65"/>
        <v>689.75</v>
      </c>
      <c r="O242" s="158">
        <v>200</v>
      </c>
      <c r="P242" s="158">
        <v>139.34</v>
      </c>
      <c r="Q242" s="158">
        <v>60.66</v>
      </c>
      <c r="R242" s="158">
        <f t="shared" si="54"/>
        <v>1379.5</v>
      </c>
      <c r="S242" s="158">
        <f t="shared" si="55"/>
        <v>1579.5</v>
      </c>
      <c r="T242" s="169" t="s">
        <v>137</v>
      </c>
    </row>
    <row r="243" spans="1:20" ht="28.5" customHeight="1">
      <c r="A243" s="156">
        <v>2081902</v>
      </c>
      <c r="B243" s="157" t="s">
        <v>321</v>
      </c>
      <c r="C243" s="158">
        <v>400</v>
      </c>
      <c r="D243" s="158"/>
      <c r="E243" s="158">
        <f t="shared" si="63"/>
        <v>400</v>
      </c>
      <c r="F243" s="158">
        <v>0</v>
      </c>
      <c r="G243" s="158">
        <v>0</v>
      </c>
      <c r="H243" s="158">
        <v>0</v>
      </c>
      <c r="I243" s="158">
        <v>0</v>
      </c>
      <c r="J243" s="158">
        <f t="shared" si="66"/>
        <v>1646</v>
      </c>
      <c r="K243" s="158">
        <v>400</v>
      </c>
      <c r="L243" s="158">
        <v>1646</v>
      </c>
      <c r="M243" s="158">
        <f t="shared" si="64"/>
        <v>2046</v>
      </c>
      <c r="N243" s="158">
        <f t="shared" si="65"/>
        <v>411.5</v>
      </c>
      <c r="O243" s="158">
        <v>400</v>
      </c>
      <c r="P243" s="158">
        <v>108.77</v>
      </c>
      <c r="Q243" s="158">
        <v>291.23</v>
      </c>
      <c r="R243" s="158">
        <f t="shared" si="54"/>
        <v>1646</v>
      </c>
      <c r="S243" s="158">
        <f t="shared" si="55"/>
        <v>2046</v>
      </c>
      <c r="T243" s="169" t="s">
        <v>137</v>
      </c>
    </row>
    <row r="244" spans="1:20" ht="28.5" customHeight="1">
      <c r="A244" s="156">
        <v>20820</v>
      </c>
      <c r="B244" s="157" t="s">
        <v>322</v>
      </c>
      <c r="C244" s="158">
        <v>15</v>
      </c>
      <c r="D244" s="158"/>
      <c r="E244" s="158">
        <f t="shared" si="63"/>
        <v>15</v>
      </c>
      <c r="F244" s="158">
        <v>0</v>
      </c>
      <c r="G244" s="158">
        <v>0</v>
      </c>
      <c r="H244" s="158">
        <v>0</v>
      </c>
      <c r="I244" s="158">
        <v>0</v>
      </c>
      <c r="J244" s="158">
        <f t="shared" si="66"/>
        <v>77.12</v>
      </c>
      <c r="K244" s="158">
        <v>15</v>
      </c>
      <c r="L244" s="158">
        <v>77.12</v>
      </c>
      <c r="M244" s="158">
        <f t="shared" si="64"/>
        <v>92.12</v>
      </c>
      <c r="N244" s="158">
        <f t="shared" si="65"/>
        <v>514.1333333333333</v>
      </c>
      <c r="O244" s="158">
        <v>15</v>
      </c>
      <c r="P244" s="158">
        <v>0</v>
      </c>
      <c r="Q244" s="158">
        <v>15</v>
      </c>
      <c r="R244" s="158">
        <f t="shared" si="54"/>
        <v>77.12</v>
      </c>
      <c r="S244" s="158">
        <f t="shared" si="55"/>
        <v>92.12</v>
      </c>
      <c r="T244" s="169"/>
    </row>
    <row r="245" spans="1:20" ht="28.5" customHeight="1">
      <c r="A245" s="156">
        <v>2082001</v>
      </c>
      <c r="B245" s="157" t="s">
        <v>323</v>
      </c>
      <c r="C245" s="158">
        <v>15</v>
      </c>
      <c r="D245" s="158"/>
      <c r="E245" s="158">
        <f t="shared" si="63"/>
        <v>15</v>
      </c>
      <c r="F245" s="158">
        <v>0</v>
      </c>
      <c r="G245" s="158">
        <v>0</v>
      </c>
      <c r="H245" s="158">
        <v>0</v>
      </c>
      <c r="I245" s="158">
        <v>0</v>
      </c>
      <c r="J245" s="158">
        <f t="shared" si="66"/>
        <v>77.12</v>
      </c>
      <c r="K245" s="158">
        <v>15</v>
      </c>
      <c r="L245" s="158">
        <v>77.12</v>
      </c>
      <c r="M245" s="158">
        <f t="shared" si="64"/>
        <v>92.12</v>
      </c>
      <c r="N245" s="158">
        <f t="shared" si="65"/>
        <v>514.1333333333333</v>
      </c>
      <c r="O245" s="158">
        <v>15</v>
      </c>
      <c r="P245" s="158">
        <v>0</v>
      </c>
      <c r="Q245" s="158">
        <v>15</v>
      </c>
      <c r="R245" s="158">
        <f t="shared" si="54"/>
        <v>77.12</v>
      </c>
      <c r="S245" s="158">
        <f t="shared" si="55"/>
        <v>92.12</v>
      </c>
      <c r="T245" s="169" t="s">
        <v>137</v>
      </c>
    </row>
    <row r="246" spans="1:20" ht="28.5" customHeight="1">
      <c r="A246" s="156">
        <v>20821</v>
      </c>
      <c r="B246" s="157" t="s">
        <v>324</v>
      </c>
      <c r="C246" s="158">
        <v>110</v>
      </c>
      <c r="D246" s="158"/>
      <c r="E246" s="158">
        <f t="shared" si="63"/>
        <v>110</v>
      </c>
      <c r="F246" s="158">
        <v>0</v>
      </c>
      <c r="G246" s="158">
        <v>0</v>
      </c>
      <c r="H246" s="158">
        <v>0</v>
      </c>
      <c r="I246" s="158">
        <v>0</v>
      </c>
      <c r="J246" s="158">
        <f t="shared" si="66"/>
        <v>141</v>
      </c>
      <c r="K246" s="158">
        <v>110</v>
      </c>
      <c r="L246" s="158">
        <v>141</v>
      </c>
      <c r="M246" s="158">
        <f t="shared" si="64"/>
        <v>251</v>
      </c>
      <c r="N246" s="158">
        <f t="shared" si="65"/>
        <v>128.1818181818182</v>
      </c>
      <c r="O246" s="158">
        <v>110</v>
      </c>
      <c r="P246" s="158">
        <v>35.89</v>
      </c>
      <c r="Q246" s="158">
        <v>74.11</v>
      </c>
      <c r="R246" s="158">
        <f t="shared" si="54"/>
        <v>141</v>
      </c>
      <c r="S246" s="158">
        <f t="shared" si="55"/>
        <v>251</v>
      </c>
      <c r="T246" s="169"/>
    </row>
    <row r="247" spans="1:20" ht="36.75" customHeight="1">
      <c r="A247" s="156">
        <v>2082101</v>
      </c>
      <c r="B247" s="157" t="s">
        <v>325</v>
      </c>
      <c r="C247" s="158">
        <v>10</v>
      </c>
      <c r="D247" s="158"/>
      <c r="E247" s="158">
        <f t="shared" si="63"/>
        <v>10</v>
      </c>
      <c r="F247" s="158">
        <v>0</v>
      </c>
      <c r="G247" s="158">
        <v>0</v>
      </c>
      <c r="H247" s="158">
        <v>0</v>
      </c>
      <c r="I247" s="158">
        <v>0</v>
      </c>
      <c r="J247" s="158">
        <f t="shared" si="66"/>
        <v>12</v>
      </c>
      <c r="K247" s="158">
        <v>10</v>
      </c>
      <c r="L247" s="158">
        <v>12</v>
      </c>
      <c r="M247" s="158">
        <f t="shared" si="64"/>
        <v>22</v>
      </c>
      <c r="N247" s="158">
        <f t="shared" si="65"/>
        <v>120.00000000000001</v>
      </c>
      <c r="O247" s="158">
        <v>10</v>
      </c>
      <c r="P247" s="158">
        <v>1.93</v>
      </c>
      <c r="Q247" s="158">
        <v>8.07</v>
      </c>
      <c r="R247" s="158">
        <f t="shared" si="54"/>
        <v>12</v>
      </c>
      <c r="S247" s="158">
        <f t="shared" si="55"/>
        <v>22</v>
      </c>
      <c r="T247" s="169" t="s">
        <v>137</v>
      </c>
    </row>
    <row r="248" spans="1:20" ht="36.75" customHeight="1">
      <c r="A248" s="156">
        <v>2082102</v>
      </c>
      <c r="B248" s="157" t="s">
        <v>326</v>
      </c>
      <c r="C248" s="158">
        <v>100</v>
      </c>
      <c r="D248" s="158"/>
      <c r="E248" s="158">
        <f t="shared" si="63"/>
        <v>100</v>
      </c>
      <c r="F248" s="158">
        <v>0</v>
      </c>
      <c r="G248" s="158">
        <v>0</v>
      </c>
      <c r="H248" s="158">
        <v>0</v>
      </c>
      <c r="I248" s="158">
        <v>0</v>
      </c>
      <c r="J248" s="158">
        <f t="shared" si="66"/>
        <v>129</v>
      </c>
      <c r="K248" s="158">
        <v>100</v>
      </c>
      <c r="L248" s="158">
        <v>129</v>
      </c>
      <c r="M248" s="158">
        <f t="shared" si="64"/>
        <v>229</v>
      </c>
      <c r="N248" s="158">
        <f t="shared" si="65"/>
        <v>129</v>
      </c>
      <c r="O248" s="158">
        <v>100</v>
      </c>
      <c r="P248" s="158">
        <v>33.96</v>
      </c>
      <c r="Q248" s="158">
        <v>66.04</v>
      </c>
      <c r="R248" s="158">
        <f t="shared" si="54"/>
        <v>129</v>
      </c>
      <c r="S248" s="158">
        <f t="shared" si="55"/>
        <v>229</v>
      </c>
      <c r="T248" s="169" t="s">
        <v>137</v>
      </c>
    </row>
    <row r="249" spans="1:20" ht="28.5" customHeight="1">
      <c r="A249" s="156">
        <v>20825</v>
      </c>
      <c r="B249" s="157" t="s">
        <v>327</v>
      </c>
      <c r="C249" s="158">
        <v>0.65</v>
      </c>
      <c r="D249" s="158"/>
      <c r="E249" s="158">
        <f t="shared" si="63"/>
        <v>0.65</v>
      </c>
      <c r="F249" s="158">
        <v>0</v>
      </c>
      <c r="G249" s="158">
        <v>0</v>
      </c>
      <c r="H249" s="158">
        <v>0</v>
      </c>
      <c r="I249" s="158">
        <v>0</v>
      </c>
      <c r="J249" s="158">
        <f t="shared" si="66"/>
        <v>21</v>
      </c>
      <c r="K249" s="158">
        <v>0.65</v>
      </c>
      <c r="L249" s="158">
        <v>21</v>
      </c>
      <c r="M249" s="158">
        <f t="shared" si="64"/>
        <v>21.65</v>
      </c>
      <c r="N249" s="158">
        <f t="shared" si="65"/>
        <v>3230.7692307692305</v>
      </c>
      <c r="O249" s="158">
        <v>0.65</v>
      </c>
      <c r="P249" s="158">
        <v>0.24</v>
      </c>
      <c r="Q249" s="158">
        <v>0.41</v>
      </c>
      <c r="R249" s="158">
        <f t="shared" si="54"/>
        <v>21</v>
      </c>
      <c r="S249" s="158">
        <f t="shared" si="55"/>
        <v>21.65</v>
      </c>
      <c r="T249" s="169"/>
    </row>
    <row r="250" spans="1:20" ht="28.5" customHeight="1">
      <c r="A250" s="156">
        <v>2082501</v>
      </c>
      <c r="B250" s="157" t="s">
        <v>328</v>
      </c>
      <c r="C250" s="158">
        <v>0.65</v>
      </c>
      <c r="D250" s="158"/>
      <c r="E250" s="158">
        <f t="shared" si="63"/>
        <v>0.65</v>
      </c>
      <c r="F250" s="158">
        <v>0</v>
      </c>
      <c r="G250" s="158">
        <v>0</v>
      </c>
      <c r="H250" s="158">
        <v>0</v>
      </c>
      <c r="I250" s="158">
        <v>0</v>
      </c>
      <c r="J250" s="158">
        <f t="shared" si="66"/>
        <v>7</v>
      </c>
      <c r="K250" s="158">
        <v>0.65</v>
      </c>
      <c r="L250" s="158">
        <v>7</v>
      </c>
      <c r="M250" s="158">
        <f t="shared" si="64"/>
        <v>7.65</v>
      </c>
      <c r="N250" s="158">
        <f t="shared" si="65"/>
        <v>1076.923076923077</v>
      </c>
      <c r="O250" s="158">
        <v>0.65</v>
      </c>
      <c r="P250" s="158">
        <v>0.24</v>
      </c>
      <c r="Q250" s="158">
        <v>0.41</v>
      </c>
      <c r="R250" s="158">
        <f t="shared" si="54"/>
        <v>7</v>
      </c>
      <c r="S250" s="158">
        <f t="shared" si="55"/>
        <v>7.65</v>
      </c>
      <c r="T250" s="169" t="s">
        <v>137</v>
      </c>
    </row>
    <row r="251" spans="1:20" ht="28.5" customHeight="1">
      <c r="A251" s="156">
        <v>2082502</v>
      </c>
      <c r="B251" s="157" t="s">
        <v>329</v>
      </c>
      <c r="C251" s="158"/>
      <c r="D251" s="158"/>
      <c r="E251" s="158"/>
      <c r="F251" s="158"/>
      <c r="G251" s="158"/>
      <c r="H251" s="158"/>
      <c r="I251" s="158"/>
      <c r="J251" s="158">
        <f t="shared" si="66"/>
        <v>14</v>
      </c>
      <c r="K251" s="158"/>
      <c r="L251" s="158">
        <v>14</v>
      </c>
      <c r="M251" s="158">
        <f t="shared" si="64"/>
        <v>14</v>
      </c>
      <c r="N251" s="158">
        <v>100</v>
      </c>
      <c r="O251" s="158"/>
      <c r="P251" s="158"/>
      <c r="Q251" s="158"/>
      <c r="R251" s="158">
        <f t="shared" si="54"/>
        <v>14</v>
      </c>
      <c r="S251" s="158">
        <f t="shared" si="55"/>
        <v>14</v>
      </c>
      <c r="T251" s="169" t="s">
        <v>137</v>
      </c>
    </row>
    <row r="252" spans="1:20" ht="33.75" customHeight="1">
      <c r="A252" s="156">
        <v>20826</v>
      </c>
      <c r="B252" s="157" t="s">
        <v>330</v>
      </c>
      <c r="C252" s="158">
        <v>1103.84</v>
      </c>
      <c r="D252" s="158">
        <v>2935.4</v>
      </c>
      <c r="E252" s="158">
        <f aca="true" t="shared" si="67" ref="E252:E263">C252+D252</f>
        <v>4039.24</v>
      </c>
      <c r="F252" s="158">
        <v>287</v>
      </c>
      <c r="G252" s="158">
        <v>0</v>
      </c>
      <c r="H252" s="158">
        <v>0</v>
      </c>
      <c r="I252" s="158">
        <v>3.5</v>
      </c>
      <c r="J252" s="158">
        <f t="shared" si="66"/>
        <v>1726.2000000000003</v>
      </c>
      <c r="K252" s="158">
        <v>1394.34</v>
      </c>
      <c r="L252" s="158">
        <v>4661.6</v>
      </c>
      <c r="M252" s="158">
        <f t="shared" si="64"/>
        <v>6055.9400000000005</v>
      </c>
      <c r="N252" s="158">
        <f aca="true" t="shared" si="68" ref="N252:N263">(M252/E252-1)*100</f>
        <v>49.92770917301277</v>
      </c>
      <c r="O252" s="158">
        <v>1394.34</v>
      </c>
      <c r="P252" s="158">
        <v>995.14</v>
      </c>
      <c r="Q252" s="158">
        <v>399.2</v>
      </c>
      <c r="R252" s="158">
        <f t="shared" si="54"/>
        <v>4661.6</v>
      </c>
      <c r="S252" s="158">
        <f t="shared" si="55"/>
        <v>6055.9400000000005</v>
      </c>
      <c r="T252" s="169"/>
    </row>
    <row r="253" spans="1:20" ht="48.75" customHeight="1">
      <c r="A253" s="156">
        <v>2082602</v>
      </c>
      <c r="B253" s="157" t="s">
        <v>331</v>
      </c>
      <c r="C253" s="158">
        <v>1100</v>
      </c>
      <c r="D253" s="158">
        <v>2935.4</v>
      </c>
      <c r="E253" s="158">
        <f t="shared" si="67"/>
        <v>4035.4</v>
      </c>
      <c r="F253" s="158">
        <v>287</v>
      </c>
      <c r="G253" s="158">
        <v>0</v>
      </c>
      <c r="H253" s="158">
        <v>0</v>
      </c>
      <c r="I253" s="158">
        <v>3.5</v>
      </c>
      <c r="J253" s="158">
        <f t="shared" si="66"/>
        <v>1726.2000000000003</v>
      </c>
      <c r="K253" s="158">
        <v>1390.5</v>
      </c>
      <c r="L253" s="158">
        <v>4661.6</v>
      </c>
      <c r="M253" s="158">
        <f t="shared" si="64"/>
        <v>6052.1</v>
      </c>
      <c r="N253" s="158">
        <f t="shared" si="68"/>
        <v>49.97521930911435</v>
      </c>
      <c r="O253" s="158">
        <v>1390.5</v>
      </c>
      <c r="P253" s="158">
        <v>992.9</v>
      </c>
      <c r="Q253" s="158">
        <v>397.6</v>
      </c>
      <c r="R253" s="158">
        <f t="shared" si="54"/>
        <v>4661.6</v>
      </c>
      <c r="S253" s="158">
        <f t="shared" si="55"/>
        <v>6052.1</v>
      </c>
      <c r="T253" s="169" t="s">
        <v>332</v>
      </c>
    </row>
    <row r="254" spans="1:20" ht="33.75" customHeight="1">
      <c r="A254" s="156">
        <v>2082699</v>
      </c>
      <c r="B254" s="157" t="s">
        <v>333</v>
      </c>
      <c r="C254" s="158">
        <v>3.84</v>
      </c>
      <c r="D254" s="158"/>
      <c r="E254" s="158">
        <f t="shared" si="67"/>
        <v>3.84</v>
      </c>
      <c r="F254" s="158">
        <v>0</v>
      </c>
      <c r="G254" s="158">
        <v>0</v>
      </c>
      <c r="H254" s="158">
        <v>0</v>
      </c>
      <c r="I254" s="158">
        <v>0</v>
      </c>
      <c r="J254" s="158">
        <f t="shared" si="66"/>
        <v>0</v>
      </c>
      <c r="K254" s="158">
        <v>3.84</v>
      </c>
      <c r="L254" s="158"/>
      <c r="M254" s="158">
        <f t="shared" si="64"/>
        <v>3.84</v>
      </c>
      <c r="N254" s="158">
        <f t="shared" si="68"/>
        <v>0</v>
      </c>
      <c r="O254" s="158">
        <v>3.84</v>
      </c>
      <c r="P254" s="158">
        <v>2.24</v>
      </c>
      <c r="Q254" s="158">
        <v>1.6</v>
      </c>
      <c r="R254" s="158">
        <f t="shared" si="54"/>
        <v>0</v>
      </c>
      <c r="S254" s="158">
        <f t="shared" si="55"/>
        <v>3.84</v>
      </c>
      <c r="T254" s="169"/>
    </row>
    <row r="255" spans="1:20" ht="28.5" customHeight="1">
      <c r="A255" s="156">
        <v>20899</v>
      </c>
      <c r="B255" s="157" t="s">
        <v>334</v>
      </c>
      <c r="C255" s="158">
        <v>830.1</v>
      </c>
      <c r="D255" s="158">
        <v>90</v>
      </c>
      <c r="E255" s="158">
        <f t="shared" si="67"/>
        <v>920.1</v>
      </c>
      <c r="F255" s="158">
        <v>145.46</v>
      </c>
      <c r="G255" s="158">
        <v>-2.58</v>
      </c>
      <c r="H255" s="158">
        <v>0</v>
      </c>
      <c r="I255" s="158">
        <v>-239.54</v>
      </c>
      <c r="J255" s="158">
        <f t="shared" si="66"/>
        <v>7.9199999999999875</v>
      </c>
      <c r="K255" s="158">
        <v>733.44</v>
      </c>
      <c r="L255" s="158">
        <v>97.91999999999999</v>
      </c>
      <c r="M255" s="158">
        <f t="shared" si="64"/>
        <v>831.36</v>
      </c>
      <c r="N255" s="158">
        <f t="shared" si="68"/>
        <v>-9.644603847407895</v>
      </c>
      <c r="O255" s="158">
        <v>733.44</v>
      </c>
      <c r="P255" s="158">
        <v>337.3</v>
      </c>
      <c r="Q255" s="158">
        <v>396.14</v>
      </c>
      <c r="R255" s="158">
        <f aca="true" t="shared" si="69" ref="R255:R296">L255</f>
        <v>97.91999999999999</v>
      </c>
      <c r="S255" s="158">
        <f aca="true" t="shared" si="70" ref="S255:S296">M255</f>
        <v>831.36</v>
      </c>
      <c r="T255" s="169"/>
    </row>
    <row r="256" spans="1:20" ht="118.5" customHeight="1">
      <c r="A256" s="156">
        <v>2089901</v>
      </c>
      <c r="B256" s="157" t="s">
        <v>334</v>
      </c>
      <c r="C256" s="158">
        <v>830.1</v>
      </c>
      <c r="D256" s="158">
        <v>90</v>
      </c>
      <c r="E256" s="158">
        <f t="shared" si="67"/>
        <v>920.1</v>
      </c>
      <c r="F256" s="158">
        <v>145.46</v>
      </c>
      <c r="G256" s="158">
        <v>-2.58</v>
      </c>
      <c r="H256" s="158">
        <v>0</v>
      </c>
      <c r="I256" s="158">
        <v>-239.54</v>
      </c>
      <c r="J256" s="158">
        <f t="shared" si="66"/>
        <v>7.9199999999999875</v>
      </c>
      <c r="K256" s="158">
        <v>733.44</v>
      </c>
      <c r="L256" s="158">
        <v>97.91999999999999</v>
      </c>
      <c r="M256" s="158">
        <f t="shared" si="64"/>
        <v>831.36</v>
      </c>
      <c r="N256" s="158">
        <f t="shared" si="68"/>
        <v>-9.644603847407895</v>
      </c>
      <c r="O256" s="158">
        <v>733.44</v>
      </c>
      <c r="P256" s="158">
        <v>337.3</v>
      </c>
      <c r="Q256" s="158">
        <v>396.14</v>
      </c>
      <c r="R256" s="158">
        <f t="shared" si="69"/>
        <v>97.91999999999999</v>
      </c>
      <c r="S256" s="158">
        <f t="shared" si="70"/>
        <v>831.36</v>
      </c>
      <c r="T256" s="169" t="s">
        <v>335</v>
      </c>
    </row>
    <row r="257" spans="1:20" ht="28.5" customHeight="1">
      <c r="A257" s="156">
        <v>210</v>
      </c>
      <c r="B257" s="157" t="s">
        <v>336</v>
      </c>
      <c r="C257" s="158">
        <f aca="true" t="shared" si="71" ref="C257:I257">C258+C262+C265+C269+C278+C282+C286+C288+C290+C293+C295</f>
        <v>5118.9</v>
      </c>
      <c r="D257" s="158">
        <f t="shared" si="71"/>
        <v>10241.75</v>
      </c>
      <c r="E257" s="158">
        <f t="shared" si="67"/>
        <v>15360.65</v>
      </c>
      <c r="F257" s="158">
        <f t="shared" si="71"/>
        <v>712.33</v>
      </c>
      <c r="G257" s="158">
        <f t="shared" si="71"/>
        <v>131.7</v>
      </c>
      <c r="H257" s="158">
        <f t="shared" si="71"/>
        <v>0</v>
      </c>
      <c r="I257" s="158">
        <f t="shared" si="71"/>
        <v>154.07000000000005</v>
      </c>
      <c r="J257" s="158">
        <f t="shared" si="66"/>
        <v>2864.9037169999992</v>
      </c>
      <c r="K257" s="158">
        <f aca="true" t="shared" si="72" ref="K257:Q257">K258+K262+K265+K269+K278+K282+K286+K288+K290+K293+K295</f>
        <v>6116.999999999999</v>
      </c>
      <c r="L257" s="158">
        <v>13106.653717</v>
      </c>
      <c r="M257" s="158">
        <f t="shared" si="64"/>
        <v>19223.653716999997</v>
      </c>
      <c r="N257" s="158">
        <f t="shared" si="68"/>
        <v>25.148699547219678</v>
      </c>
      <c r="O257" s="158">
        <f t="shared" si="72"/>
        <v>6116.999999999999</v>
      </c>
      <c r="P257" s="158">
        <f t="shared" si="72"/>
        <v>3623.6499999999996</v>
      </c>
      <c r="Q257" s="158">
        <f t="shared" si="72"/>
        <v>2493.3500000000004</v>
      </c>
      <c r="R257" s="158">
        <f>R258+R262+R265+R269+R278+R282+R286+R288+R290+R293+R295+R276</f>
        <v>13106.653717</v>
      </c>
      <c r="S257" s="158">
        <f>S258+S262+S265+S269+S278+S282+S286+S288+S290+S293+S295+S276</f>
        <v>19223.653716999997</v>
      </c>
      <c r="T257" s="169"/>
    </row>
    <row r="258" spans="1:20" ht="39" customHeight="1">
      <c r="A258" s="156">
        <v>21001</v>
      </c>
      <c r="B258" s="157" t="s">
        <v>337</v>
      </c>
      <c r="C258" s="158">
        <v>220.27</v>
      </c>
      <c r="D258" s="158"/>
      <c r="E258" s="158">
        <f t="shared" si="67"/>
        <v>220.27</v>
      </c>
      <c r="F258" s="158">
        <v>0</v>
      </c>
      <c r="G258" s="158">
        <v>0</v>
      </c>
      <c r="H258" s="158">
        <v>0</v>
      </c>
      <c r="I258" s="158">
        <v>59.7</v>
      </c>
      <c r="J258" s="158">
        <f t="shared" si="66"/>
        <v>140</v>
      </c>
      <c r="K258" s="158">
        <v>279.97</v>
      </c>
      <c r="L258" s="158">
        <v>140</v>
      </c>
      <c r="M258" s="158">
        <f t="shared" si="64"/>
        <v>419.97</v>
      </c>
      <c r="N258" s="158">
        <f t="shared" si="68"/>
        <v>90.6614609343079</v>
      </c>
      <c r="O258" s="158">
        <v>279.97</v>
      </c>
      <c r="P258" s="158">
        <v>185.7</v>
      </c>
      <c r="Q258" s="158">
        <v>94.27</v>
      </c>
      <c r="R258" s="158">
        <f t="shared" si="69"/>
        <v>140</v>
      </c>
      <c r="S258" s="158">
        <f t="shared" si="70"/>
        <v>419.97</v>
      </c>
      <c r="T258" s="169"/>
    </row>
    <row r="259" spans="1:20" ht="66.75" customHeight="1">
      <c r="A259" s="156">
        <v>2100101</v>
      </c>
      <c r="B259" s="157" t="s">
        <v>87</v>
      </c>
      <c r="C259" s="158">
        <v>214.27</v>
      </c>
      <c r="D259" s="158"/>
      <c r="E259" s="158">
        <f t="shared" si="67"/>
        <v>214.27</v>
      </c>
      <c r="F259" s="158">
        <v>0</v>
      </c>
      <c r="G259" s="158">
        <v>0</v>
      </c>
      <c r="H259" s="158">
        <v>0</v>
      </c>
      <c r="I259" s="158">
        <v>59.7</v>
      </c>
      <c r="J259" s="158">
        <f t="shared" si="66"/>
        <v>0</v>
      </c>
      <c r="K259" s="158">
        <v>273.97</v>
      </c>
      <c r="L259" s="158"/>
      <c r="M259" s="158">
        <f t="shared" si="64"/>
        <v>273.97</v>
      </c>
      <c r="N259" s="158">
        <f t="shared" si="68"/>
        <v>27.862043216502542</v>
      </c>
      <c r="O259" s="158">
        <v>273.97</v>
      </c>
      <c r="P259" s="158">
        <v>179.7</v>
      </c>
      <c r="Q259" s="158">
        <v>94.27</v>
      </c>
      <c r="R259" s="158">
        <f t="shared" si="69"/>
        <v>0</v>
      </c>
      <c r="S259" s="158">
        <f t="shared" si="70"/>
        <v>273.97</v>
      </c>
      <c r="T259" s="169" t="s">
        <v>88</v>
      </c>
    </row>
    <row r="260" spans="1:20" ht="28.5" customHeight="1">
      <c r="A260" s="156">
        <v>2100102</v>
      </c>
      <c r="B260" s="157" t="s">
        <v>89</v>
      </c>
      <c r="C260" s="158">
        <v>2</v>
      </c>
      <c r="D260" s="158"/>
      <c r="E260" s="158">
        <f t="shared" si="67"/>
        <v>2</v>
      </c>
      <c r="F260" s="158">
        <v>0</v>
      </c>
      <c r="G260" s="158">
        <v>0</v>
      </c>
      <c r="H260" s="158">
        <v>0</v>
      </c>
      <c r="I260" s="158">
        <v>0</v>
      </c>
      <c r="J260" s="158">
        <f t="shared" si="66"/>
        <v>0</v>
      </c>
      <c r="K260" s="158">
        <v>2</v>
      </c>
      <c r="L260" s="158"/>
      <c r="M260" s="158">
        <f t="shared" si="64"/>
        <v>2</v>
      </c>
      <c r="N260" s="158">
        <f t="shared" si="68"/>
        <v>0</v>
      </c>
      <c r="O260" s="158">
        <v>2</v>
      </c>
      <c r="P260" s="158">
        <v>2</v>
      </c>
      <c r="Q260" s="158">
        <v>0</v>
      </c>
      <c r="R260" s="158">
        <f t="shared" si="69"/>
        <v>0</v>
      </c>
      <c r="S260" s="158">
        <f t="shared" si="70"/>
        <v>2</v>
      </c>
      <c r="T260" s="169"/>
    </row>
    <row r="261" spans="1:20" ht="66" customHeight="1">
      <c r="A261" s="156">
        <v>2100199</v>
      </c>
      <c r="B261" s="157" t="s">
        <v>338</v>
      </c>
      <c r="C261" s="158">
        <v>4</v>
      </c>
      <c r="D261" s="158"/>
      <c r="E261" s="158">
        <f t="shared" si="67"/>
        <v>4</v>
      </c>
      <c r="F261" s="158">
        <v>0</v>
      </c>
      <c r="G261" s="158">
        <v>0</v>
      </c>
      <c r="H261" s="158">
        <v>0</v>
      </c>
      <c r="I261" s="158">
        <v>0</v>
      </c>
      <c r="J261" s="158">
        <f t="shared" si="66"/>
        <v>140</v>
      </c>
      <c r="K261" s="158">
        <v>4</v>
      </c>
      <c r="L261" s="158">
        <v>140</v>
      </c>
      <c r="M261" s="158">
        <f t="shared" si="64"/>
        <v>144</v>
      </c>
      <c r="N261" s="158">
        <f t="shared" si="68"/>
        <v>3500</v>
      </c>
      <c r="O261" s="158">
        <v>4</v>
      </c>
      <c r="P261" s="158">
        <v>4</v>
      </c>
      <c r="Q261" s="158">
        <v>0</v>
      </c>
      <c r="R261" s="158">
        <f t="shared" si="69"/>
        <v>140</v>
      </c>
      <c r="S261" s="158">
        <f t="shared" si="70"/>
        <v>144</v>
      </c>
      <c r="T261" s="169" t="s">
        <v>88</v>
      </c>
    </row>
    <row r="262" spans="1:20" ht="28.5" customHeight="1">
      <c r="A262" s="156">
        <v>21002</v>
      </c>
      <c r="B262" s="157" t="s">
        <v>339</v>
      </c>
      <c r="C262" s="158">
        <v>365.54</v>
      </c>
      <c r="D262" s="158"/>
      <c r="E262" s="158">
        <f t="shared" si="67"/>
        <v>365.54</v>
      </c>
      <c r="F262" s="158">
        <v>0</v>
      </c>
      <c r="G262" s="158">
        <v>0</v>
      </c>
      <c r="H262" s="158">
        <v>0</v>
      </c>
      <c r="I262" s="158">
        <v>9.18</v>
      </c>
      <c r="J262" s="158">
        <f t="shared" si="66"/>
        <v>103.36</v>
      </c>
      <c r="K262" s="158">
        <v>374.72</v>
      </c>
      <c r="L262" s="158">
        <v>103.36</v>
      </c>
      <c r="M262" s="158">
        <f t="shared" si="64"/>
        <v>478.08000000000004</v>
      </c>
      <c r="N262" s="158">
        <f t="shared" si="68"/>
        <v>30.7873283361602</v>
      </c>
      <c r="O262" s="158">
        <v>374.72</v>
      </c>
      <c r="P262" s="158">
        <v>220.37</v>
      </c>
      <c r="Q262" s="158">
        <v>154.35</v>
      </c>
      <c r="R262" s="158">
        <f t="shared" si="69"/>
        <v>103.36</v>
      </c>
      <c r="S262" s="158">
        <f t="shared" si="70"/>
        <v>478.08000000000004</v>
      </c>
      <c r="T262" s="169"/>
    </row>
    <row r="263" spans="1:20" ht="51.75" customHeight="1">
      <c r="A263" s="156">
        <v>2100201</v>
      </c>
      <c r="B263" s="157" t="s">
        <v>340</v>
      </c>
      <c r="C263" s="158">
        <v>365.54</v>
      </c>
      <c r="D263" s="158"/>
      <c r="E263" s="158">
        <f t="shared" si="67"/>
        <v>365.54</v>
      </c>
      <c r="F263" s="158">
        <v>0</v>
      </c>
      <c r="G263" s="158">
        <v>0</v>
      </c>
      <c r="H263" s="158">
        <v>0</v>
      </c>
      <c r="I263" s="158">
        <v>9.18</v>
      </c>
      <c r="J263" s="158">
        <f t="shared" si="66"/>
        <v>0</v>
      </c>
      <c r="K263" s="158">
        <v>374.72</v>
      </c>
      <c r="L263" s="158"/>
      <c r="M263" s="158">
        <f t="shared" si="64"/>
        <v>374.72</v>
      </c>
      <c r="N263" s="158">
        <f t="shared" si="68"/>
        <v>2.511353066695854</v>
      </c>
      <c r="O263" s="158">
        <v>374.72</v>
      </c>
      <c r="P263" s="158">
        <v>220.37</v>
      </c>
      <c r="Q263" s="158">
        <v>154.35</v>
      </c>
      <c r="R263" s="158">
        <f t="shared" si="69"/>
        <v>0</v>
      </c>
      <c r="S263" s="158">
        <f t="shared" si="70"/>
        <v>374.72</v>
      </c>
      <c r="T263" s="169" t="s">
        <v>88</v>
      </c>
    </row>
    <row r="264" spans="1:20" ht="28.5" customHeight="1">
      <c r="A264" s="156">
        <v>2100299</v>
      </c>
      <c r="B264" s="157" t="s">
        <v>341</v>
      </c>
      <c r="C264" s="158"/>
      <c r="D264" s="158"/>
      <c r="E264" s="158"/>
      <c r="F264" s="158"/>
      <c r="G264" s="158"/>
      <c r="H264" s="158"/>
      <c r="I264" s="158"/>
      <c r="J264" s="158">
        <f t="shared" si="66"/>
        <v>103.36</v>
      </c>
      <c r="K264" s="158"/>
      <c r="L264" s="158">
        <v>103.36</v>
      </c>
      <c r="M264" s="158">
        <f t="shared" si="64"/>
        <v>103.36</v>
      </c>
      <c r="N264" s="158">
        <v>100</v>
      </c>
      <c r="O264" s="158"/>
      <c r="P264" s="158"/>
      <c r="Q264" s="158"/>
      <c r="R264" s="158">
        <f t="shared" si="69"/>
        <v>103.36</v>
      </c>
      <c r="S264" s="158">
        <f t="shared" si="70"/>
        <v>103.36</v>
      </c>
      <c r="T264" s="169" t="s">
        <v>137</v>
      </c>
    </row>
    <row r="265" spans="1:20" ht="28.5" customHeight="1">
      <c r="A265" s="156">
        <v>21003</v>
      </c>
      <c r="B265" s="157" t="s">
        <v>342</v>
      </c>
      <c r="C265" s="158">
        <v>175.5</v>
      </c>
      <c r="D265" s="158"/>
      <c r="E265" s="158">
        <f aca="true" t="shared" si="73" ref="E265:E275">C265+D265</f>
        <v>175.5</v>
      </c>
      <c r="F265" s="158">
        <v>0</v>
      </c>
      <c r="G265" s="158">
        <v>0</v>
      </c>
      <c r="H265" s="158">
        <v>0</v>
      </c>
      <c r="I265" s="158">
        <v>17.43</v>
      </c>
      <c r="J265" s="158">
        <f t="shared" si="66"/>
        <v>480.76</v>
      </c>
      <c r="K265" s="158">
        <v>192.93</v>
      </c>
      <c r="L265" s="158">
        <v>480.76</v>
      </c>
      <c r="M265" s="158">
        <f t="shared" si="64"/>
        <v>673.69</v>
      </c>
      <c r="N265" s="158">
        <f aca="true" t="shared" si="74" ref="N265:N275">(M265/E265-1)*100</f>
        <v>283.8689458689459</v>
      </c>
      <c r="O265" s="158">
        <v>192.93</v>
      </c>
      <c r="P265" s="158">
        <v>120.08</v>
      </c>
      <c r="Q265" s="158">
        <v>72.85</v>
      </c>
      <c r="R265" s="158">
        <f t="shared" si="69"/>
        <v>480.76</v>
      </c>
      <c r="S265" s="158">
        <f t="shared" si="70"/>
        <v>673.69</v>
      </c>
      <c r="T265" s="169"/>
    </row>
    <row r="266" spans="1:20" ht="28.5" customHeight="1">
      <c r="A266" s="156">
        <v>2100301</v>
      </c>
      <c r="B266" s="157" t="s">
        <v>343</v>
      </c>
      <c r="C266" s="158">
        <v>35.58</v>
      </c>
      <c r="D266" s="158"/>
      <c r="E266" s="158">
        <f t="shared" si="73"/>
        <v>35.58</v>
      </c>
      <c r="F266" s="158">
        <v>0</v>
      </c>
      <c r="G266" s="158">
        <v>0</v>
      </c>
      <c r="H266" s="158">
        <v>0</v>
      </c>
      <c r="I266" s="158">
        <v>0</v>
      </c>
      <c r="J266" s="158">
        <f t="shared" si="66"/>
        <v>0</v>
      </c>
      <c r="K266" s="158">
        <v>35.58</v>
      </c>
      <c r="L266" s="158"/>
      <c r="M266" s="158">
        <f t="shared" si="64"/>
        <v>35.58</v>
      </c>
      <c r="N266" s="158">
        <f t="shared" si="74"/>
        <v>0</v>
      </c>
      <c r="O266" s="158">
        <v>35.58</v>
      </c>
      <c r="P266" s="158">
        <v>17.44</v>
      </c>
      <c r="Q266" s="158">
        <v>18.14</v>
      </c>
      <c r="R266" s="158">
        <f t="shared" si="69"/>
        <v>0</v>
      </c>
      <c r="S266" s="158">
        <f t="shared" si="70"/>
        <v>35.58</v>
      </c>
      <c r="T266" s="169"/>
    </row>
    <row r="267" spans="1:20" ht="66.75" customHeight="1">
      <c r="A267" s="156">
        <v>2100302</v>
      </c>
      <c r="B267" s="157" t="s">
        <v>344</v>
      </c>
      <c r="C267" s="158">
        <v>82.97</v>
      </c>
      <c r="D267" s="158"/>
      <c r="E267" s="158">
        <f t="shared" si="73"/>
        <v>82.97</v>
      </c>
      <c r="F267" s="158">
        <v>0</v>
      </c>
      <c r="G267" s="158">
        <v>0</v>
      </c>
      <c r="H267" s="158">
        <v>0</v>
      </c>
      <c r="I267" s="158">
        <v>14.43</v>
      </c>
      <c r="J267" s="158">
        <f t="shared" si="66"/>
        <v>68.76</v>
      </c>
      <c r="K267" s="158">
        <v>97.4</v>
      </c>
      <c r="L267" s="158">
        <v>68.76</v>
      </c>
      <c r="M267" s="158">
        <f t="shared" si="64"/>
        <v>166.16000000000003</v>
      </c>
      <c r="N267" s="158">
        <f t="shared" si="74"/>
        <v>100.26515608051105</v>
      </c>
      <c r="O267" s="158">
        <v>97.4</v>
      </c>
      <c r="P267" s="158">
        <v>61.64</v>
      </c>
      <c r="Q267" s="158">
        <v>35.76</v>
      </c>
      <c r="R267" s="158">
        <f t="shared" si="69"/>
        <v>68.76</v>
      </c>
      <c r="S267" s="158">
        <f t="shared" si="70"/>
        <v>166.16000000000003</v>
      </c>
      <c r="T267" s="169" t="s">
        <v>206</v>
      </c>
    </row>
    <row r="268" spans="1:20" ht="57.75" customHeight="1">
      <c r="A268" s="156">
        <v>2100399</v>
      </c>
      <c r="B268" s="157" t="s">
        <v>345</v>
      </c>
      <c r="C268" s="158">
        <v>56.95</v>
      </c>
      <c r="D268" s="158"/>
      <c r="E268" s="158">
        <f t="shared" si="73"/>
        <v>56.95</v>
      </c>
      <c r="F268" s="158">
        <v>0</v>
      </c>
      <c r="G268" s="158">
        <v>0</v>
      </c>
      <c r="H268" s="158">
        <v>0</v>
      </c>
      <c r="I268" s="158">
        <v>3</v>
      </c>
      <c r="J268" s="158">
        <f t="shared" si="66"/>
        <v>412</v>
      </c>
      <c r="K268" s="158">
        <v>59.95</v>
      </c>
      <c r="L268" s="158">
        <v>412</v>
      </c>
      <c r="M268" s="158">
        <f t="shared" si="64"/>
        <v>471.95</v>
      </c>
      <c r="N268" s="158">
        <f t="shared" si="74"/>
        <v>728.7093942054433</v>
      </c>
      <c r="O268" s="158">
        <v>59.95</v>
      </c>
      <c r="P268" s="158">
        <v>41</v>
      </c>
      <c r="Q268" s="158">
        <v>18.95</v>
      </c>
      <c r="R268" s="158">
        <f t="shared" si="69"/>
        <v>412</v>
      </c>
      <c r="S268" s="158">
        <f t="shared" si="70"/>
        <v>471.95</v>
      </c>
      <c r="T268" s="169" t="s">
        <v>206</v>
      </c>
    </row>
    <row r="269" spans="1:20" ht="28.5" customHeight="1">
      <c r="A269" s="156">
        <v>21004</v>
      </c>
      <c r="B269" s="157" t="s">
        <v>346</v>
      </c>
      <c r="C269" s="158">
        <v>870.76</v>
      </c>
      <c r="D269" s="158"/>
      <c r="E269" s="158">
        <f t="shared" si="73"/>
        <v>870.76</v>
      </c>
      <c r="F269" s="158">
        <v>0.15</v>
      </c>
      <c r="G269" s="158">
        <v>172.5</v>
      </c>
      <c r="H269" s="158">
        <v>0</v>
      </c>
      <c r="I269" s="158">
        <v>35.17</v>
      </c>
      <c r="J269" s="158">
        <f t="shared" si="66"/>
        <v>1392.682</v>
      </c>
      <c r="K269" s="158">
        <v>1078.58</v>
      </c>
      <c r="L269" s="158">
        <v>1392.682</v>
      </c>
      <c r="M269" s="158">
        <f t="shared" si="64"/>
        <v>2471.2619999999997</v>
      </c>
      <c r="N269" s="158">
        <f t="shared" si="74"/>
        <v>183.80518168037113</v>
      </c>
      <c r="O269" s="158">
        <v>1078.58</v>
      </c>
      <c r="P269" s="158">
        <v>771.14</v>
      </c>
      <c r="Q269" s="158">
        <v>307.44</v>
      </c>
      <c r="R269" s="158">
        <f t="shared" si="69"/>
        <v>1392.682</v>
      </c>
      <c r="S269" s="158">
        <f t="shared" si="70"/>
        <v>2471.2619999999997</v>
      </c>
      <c r="T269" s="169"/>
    </row>
    <row r="270" spans="1:20" ht="66" customHeight="1">
      <c r="A270" s="156">
        <v>2100401</v>
      </c>
      <c r="B270" s="157" t="s">
        <v>347</v>
      </c>
      <c r="C270" s="158">
        <v>280.67</v>
      </c>
      <c r="D270" s="158"/>
      <c r="E270" s="158">
        <f t="shared" si="73"/>
        <v>280.67</v>
      </c>
      <c r="F270" s="158">
        <v>0.01</v>
      </c>
      <c r="G270" s="158">
        <v>172.5</v>
      </c>
      <c r="H270" s="158">
        <v>0</v>
      </c>
      <c r="I270" s="158">
        <v>10.4</v>
      </c>
      <c r="J270" s="158">
        <f t="shared" si="66"/>
        <v>0</v>
      </c>
      <c r="K270" s="158">
        <v>463.58</v>
      </c>
      <c r="L270" s="158"/>
      <c r="M270" s="158">
        <f t="shared" si="64"/>
        <v>463.58</v>
      </c>
      <c r="N270" s="158">
        <f t="shared" si="74"/>
        <v>65.16905974988418</v>
      </c>
      <c r="O270" s="158">
        <v>463.58</v>
      </c>
      <c r="P270" s="158">
        <v>229.12</v>
      </c>
      <c r="Q270" s="158">
        <v>234.46</v>
      </c>
      <c r="R270" s="158">
        <f t="shared" si="69"/>
        <v>0</v>
      </c>
      <c r="S270" s="158">
        <f t="shared" si="70"/>
        <v>463.58</v>
      </c>
      <c r="T270" s="169" t="s">
        <v>348</v>
      </c>
    </row>
    <row r="271" spans="1:20" ht="45.75" customHeight="1">
      <c r="A271" s="156">
        <v>2100403</v>
      </c>
      <c r="B271" s="157" t="s">
        <v>349</v>
      </c>
      <c r="C271" s="158">
        <v>93.39</v>
      </c>
      <c r="D271" s="158"/>
      <c r="E271" s="158">
        <f t="shared" si="73"/>
        <v>93.39</v>
      </c>
      <c r="F271" s="158">
        <v>0.24</v>
      </c>
      <c r="G271" s="158">
        <v>0</v>
      </c>
      <c r="H271" s="158">
        <v>0</v>
      </c>
      <c r="I271" s="158">
        <v>3.809999999999994</v>
      </c>
      <c r="J271" s="158">
        <f t="shared" si="66"/>
        <v>0</v>
      </c>
      <c r="K271" s="158">
        <v>97.44</v>
      </c>
      <c r="L271" s="158"/>
      <c r="M271" s="158">
        <f t="shared" si="64"/>
        <v>97.44</v>
      </c>
      <c r="N271" s="158">
        <f t="shared" si="74"/>
        <v>4.336652746546732</v>
      </c>
      <c r="O271" s="158">
        <v>97.44</v>
      </c>
      <c r="P271" s="158">
        <v>59.27</v>
      </c>
      <c r="Q271" s="158">
        <v>38.17</v>
      </c>
      <c r="R271" s="158">
        <f t="shared" si="69"/>
        <v>0</v>
      </c>
      <c r="S271" s="158">
        <f t="shared" si="70"/>
        <v>97.44</v>
      </c>
      <c r="T271" s="169" t="s">
        <v>88</v>
      </c>
    </row>
    <row r="272" spans="1:20" ht="28.5" customHeight="1">
      <c r="A272" s="156">
        <v>2100408</v>
      </c>
      <c r="B272" s="157" t="s">
        <v>350</v>
      </c>
      <c r="C272" s="158">
        <v>289</v>
      </c>
      <c r="D272" s="158"/>
      <c r="E272" s="158">
        <f t="shared" si="73"/>
        <v>289</v>
      </c>
      <c r="F272" s="158">
        <v>0</v>
      </c>
      <c r="G272" s="158">
        <v>0</v>
      </c>
      <c r="H272" s="158">
        <v>0</v>
      </c>
      <c r="I272" s="158">
        <v>0</v>
      </c>
      <c r="J272" s="158">
        <f t="shared" si="66"/>
        <v>1192.01</v>
      </c>
      <c r="K272" s="158">
        <v>289</v>
      </c>
      <c r="L272" s="158">
        <v>1192.01</v>
      </c>
      <c r="M272" s="158">
        <f t="shared" si="64"/>
        <v>1481.01</v>
      </c>
      <c r="N272" s="158">
        <f t="shared" si="74"/>
        <v>412.46020761245677</v>
      </c>
      <c r="O272" s="158">
        <v>289</v>
      </c>
      <c r="P272" s="158">
        <v>271</v>
      </c>
      <c r="Q272" s="158">
        <v>18</v>
      </c>
      <c r="R272" s="158">
        <f t="shared" si="69"/>
        <v>1192.01</v>
      </c>
      <c r="S272" s="158">
        <f t="shared" si="70"/>
        <v>1481.01</v>
      </c>
      <c r="T272" s="169" t="s">
        <v>137</v>
      </c>
    </row>
    <row r="273" spans="1:20" ht="28.5" customHeight="1">
      <c r="A273" s="156">
        <v>2100409</v>
      </c>
      <c r="B273" s="157" t="s">
        <v>351</v>
      </c>
      <c r="C273" s="158">
        <v>40.5</v>
      </c>
      <c r="D273" s="158"/>
      <c r="E273" s="158">
        <f t="shared" si="73"/>
        <v>40.5</v>
      </c>
      <c r="F273" s="158">
        <v>-2.1</v>
      </c>
      <c r="G273" s="158">
        <v>0</v>
      </c>
      <c r="H273" s="158">
        <v>0</v>
      </c>
      <c r="I273" s="158">
        <v>0</v>
      </c>
      <c r="J273" s="158">
        <f t="shared" si="66"/>
        <v>51.672</v>
      </c>
      <c r="K273" s="158">
        <v>38.4</v>
      </c>
      <c r="L273" s="158">
        <v>51.672</v>
      </c>
      <c r="M273" s="158">
        <f t="shared" si="64"/>
        <v>90.072</v>
      </c>
      <c r="N273" s="158">
        <f t="shared" si="74"/>
        <v>122.40000000000002</v>
      </c>
      <c r="O273" s="158">
        <v>38.4</v>
      </c>
      <c r="P273" s="158">
        <v>38.4</v>
      </c>
      <c r="Q273" s="158">
        <v>0</v>
      </c>
      <c r="R273" s="158">
        <f t="shared" si="69"/>
        <v>51.672</v>
      </c>
      <c r="S273" s="158">
        <f t="shared" si="70"/>
        <v>90.072</v>
      </c>
      <c r="T273" s="169" t="s">
        <v>137</v>
      </c>
    </row>
    <row r="274" spans="1:20" ht="33.75" customHeight="1">
      <c r="A274" s="156">
        <v>2100410</v>
      </c>
      <c r="B274" s="157" t="s">
        <v>352</v>
      </c>
      <c r="C274" s="158">
        <v>5</v>
      </c>
      <c r="D274" s="158"/>
      <c r="E274" s="158">
        <f t="shared" si="73"/>
        <v>5</v>
      </c>
      <c r="F274" s="158">
        <v>0</v>
      </c>
      <c r="G274" s="158">
        <v>0</v>
      </c>
      <c r="H274" s="158">
        <v>0</v>
      </c>
      <c r="I274" s="158">
        <v>0</v>
      </c>
      <c r="J274" s="158">
        <f t="shared" si="66"/>
        <v>0</v>
      </c>
      <c r="K274" s="158">
        <v>5</v>
      </c>
      <c r="L274" s="158"/>
      <c r="M274" s="158">
        <f t="shared" si="64"/>
        <v>5</v>
      </c>
      <c r="N274" s="158">
        <f t="shared" si="74"/>
        <v>0</v>
      </c>
      <c r="O274" s="158">
        <v>5</v>
      </c>
      <c r="P274" s="158">
        <v>5</v>
      </c>
      <c r="Q274" s="158">
        <v>0</v>
      </c>
      <c r="R274" s="158">
        <f t="shared" si="69"/>
        <v>0</v>
      </c>
      <c r="S274" s="158">
        <f t="shared" si="70"/>
        <v>5</v>
      </c>
      <c r="T274" s="169"/>
    </row>
    <row r="275" spans="1:20" ht="48" customHeight="1">
      <c r="A275" s="156">
        <v>2100499</v>
      </c>
      <c r="B275" s="157" t="s">
        <v>353</v>
      </c>
      <c r="C275" s="158">
        <v>162.2</v>
      </c>
      <c r="D275" s="158"/>
      <c r="E275" s="158">
        <f t="shared" si="73"/>
        <v>162.2</v>
      </c>
      <c r="F275" s="158">
        <v>2</v>
      </c>
      <c r="G275" s="158">
        <v>0</v>
      </c>
      <c r="H275" s="158">
        <v>0</v>
      </c>
      <c r="I275" s="158">
        <v>20.96</v>
      </c>
      <c r="J275" s="158">
        <f t="shared" si="66"/>
        <v>149</v>
      </c>
      <c r="K275" s="158">
        <v>185.16</v>
      </c>
      <c r="L275" s="158">
        <v>149</v>
      </c>
      <c r="M275" s="158">
        <f t="shared" si="64"/>
        <v>334.15999999999997</v>
      </c>
      <c r="N275" s="158">
        <f t="shared" si="74"/>
        <v>106.01726263871765</v>
      </c>
      <c r="O275" s="158">
        <v>185.16</v>
      </c>
      <c r="P275" s="158">
        <v>168.35</v>
      </c>
      <c r="Q275" s="158">
        <v>16.81</v>
      </c>
      <c r="R275" s="158">
        <f t="shared" si="69"/>
        <v>149</v>
      </c>
      <c r="S275" s="158">
        <f t="shared" si="70"/>
        <v>334.15999999999997</v>
      </c>
      <c r="T275" s="169" t="s">
        <v>354</v>
      </c>
    </row>
    <row r="276" spans="1:20" ht="28.5" customHeight="1">
      <c r="A276" s="156">
        <v>21006</v>
      </c>
      <c r="B276" s="157" t="s">
        <v>355</v>
      </c>
      <c r="C276" s="158"/>
      <c r="D276" s="158"/>
      <c r="E276" s="158"/>
      <c r="F276" s="158"/>
      <c r="G276" s="158"/>
      <c r="H276" s="158"/>
      <c r="I276" s="158"/>
      <c r="J276" s="158">
        <f t="shared" si="66"/>
        <v>40</v>
      </c>
      <c r="K276" s="158"/>
      <c r="L276" s="158">
        <v>40</v>
      </c>
      <c r="M276" s="158">
        <f>L276+K276</f>
        <v>40</v>
      </c>
      <c r="N276" s="158">
        <v>100</v>
      </c>
      <c r="O276" s="158"/>
      <c r="P276" s="158"/>
      <c r="Q276" s="158"/>
      <c r="R276" s="158">
        <f t="shared" si="69"/>
        <v>40</v>
      </c>
      <c r="S276" s="158">
        <f t="shared" si="70"/>
        <v>40</v>
      </c>
      <c r="T276" s="169"/>
    </row>
    <row r="277" spans="1:20" ht="28.5" customHeight="1">
      <c r="A277" s="156">
        <v>2100601</v>
      </c>
      <c r="B277" s="157" t="s">
        <v>356</v>
      </c>
      <c r="C277" s="158"/>
      <c r="D277" s="158"/>
      <c r="E277" s="158"/>
      <c r="F277" s="158"/>
      <c r="G277" s="158"/>
      <c r="H277" s="158"/>
      <c r="I277" s="158"/>
      <c r="J277" s="158">
        <f t="shared" si="66"/>
        <v>40</v>
      </c>
      <c r="K277" s="158"/>
      <c r="L277" s="158">
        <v>40</v>
      </c>
      <c r="M277" s="158">
        <f>L277+K277</f>
        <v>40</v>
      </c>
      <c r="N277" s="158">
        <v>100</v>
      </c>
      <c r="O277" s="158"/>
      <c r="P277" s="158"/>
      <c r="Q277" s="158"/>
      <c r="R277" s="158">
        <f t="shared" si="69"/>
        <v>40</v>
      </c>
      <c r="S277" s="158">
        <f t="shared" si="70"/>
        <v>40</v>
      </c>
      <c r="T277" s="169" t="s">
        <v>137</v>
      </c>
    </row>
    <row r="278" spans="1:20" ht="28.5" customHeight="1">
      <c r="A278" s="156">
        <v>21007</v>
      </c>
      <c r="B278" s="157" t="s">
        <v>357</v>
      </c>
      <c r="C278" s="158">
        <v>826.71</v>
      </c>
      <c r="D278" s="158"/>
      <c r="E278" s="158">
        <f aca="true" t="shared" si="75" ref="E278:E303">C278+D278</f>
        <v>826.71</v>
      </c>
      <c r="F278" s="158">
        <v>-22.8</v>
      </c>
      <c r="G278" s="158">
        <v>-48.8</v>
      </c>
      <c r="H278" s="158">
        <v>0</v>
      </c>
      <c r="I278" s="158">
        <v>12</v>
      </c>
      <c r="J278" s="158">
        <f t="shared" si="66"/>
        <v>125.5</v>
      </c>
      <c r="K278" s="158">
        <v>767.11</v>
      </c>
      <c r="L278" s="158">
        <v>125.5</v>
      </c>
      <c r="M278" s="158">
        <f aca="true" t="shared" si="76" ref="M278:M303">K278+L278</f>
        <v>892.61</v>
      </c>
      <c r="N278" s="158">
        <f aca="true" t="shared" si="77" ref="N278:N298">(M278/E278-1)*100</f>
        <v>7.9713563401918375</v>
      </c>
      <c r="O278" s="158">
        <v>767.11</v>
      </c>
      <c r="P278" s="158">
        <v>382.53</v>
      </c>
      <c r="Q278" s="158">
        <v>384.58</v>
      </c>
      <c r="R278" s="158">
        <f t="shared" si="69"/>
        <v>125.5</v>
      </c>
      <c r="S278" s="158">
        <f t="shared" si="70"/>
        <v>892.61</v>
      </c>
      <c r="T278" s="169"/>
    </row>
    <row r="279" spans="1:20" ht="51" customHeight="1">
      <c r="A279" s="156">
        <v>2100716</v>
      </c>
      <c r="B279" s="157" t="s">
        <v>358</v>
      </c>
      <c r="C279" s="158">
        <v>0</v>
      </c>
      <c r="D279" s="158"/>
      <c r="E279" s="158">
        <f t="shared" si="75"/>
        <v>0</v>
      </c>
      <c r="F279" s="158">
        <v>0</v>
      </c>
      <c r="G279" s="158">
        <v>0</v>
      </c>
      <c r="H279" s="158">
        <v>0</v>
      </c>
      <c r="I279" s="158">
        <v>7</v>
      </c>
      <c r="J279" s="158">
        <f t="shared" si="66"/>
        <v>0</v>
      </c>
      <c r="K279" s="158">
        <v>7</v>
      </c>
      <c r="L279" s="158"/>
      <c r="M279" s="158">
        <f t="shared" si="76"/>
        <v>7</v>
      </c>
      <c r="N279" s="158">
        <v>100</v>
      </c>
      <c r="O279" s="158">
        <v>7</v>
      </c>
      <c r="P279" s="158">
        <v>7</v>
      </c>
      <c r="Q279" s="158">
        <v>0</v>
      </c>
      <c r="R279" s="158">
        <f t="shared" si="69"/>
        <v>0</v>
      </c>
      <c r="S279" s="158">
        <f t="shared" si="70"/>
        <v>7</v>
      </c>
      <c r="T279" s="169" t="s">
        <v>359</v>
      </c>
    </row>
    <row r="280" spans="1:20" ht="28.5" customHeight="1">
      <c r="A280" s="156">
        <v>2100717</v>
      </c>
      <c r="B280" s="157" t="s">
        <v>360</v>
      </c>
      <c r="C280" s="158">
        <v>45.09</v>
      </c>
      <c r="D280" s="158"/>
      <c r="E280" s="158">
        <f t="shared" si="75"/>
        <v>45.09</v>
      </c>
      <c r="F280" s="158">
        <v>0</v>
      </c>
      <c r="G280" s="158">
        <v>0</v>
      </c>
      <c r="H280" s="158">
        <v>0</v>
      </c>
      <c r="I280" s="158">
        <v>0</v>
      </c>
      <c r="J280" s="158">
        <f t="shared" si="66"/>
        <v>22.2</v>
      </c>
      <c r="K280" s="158">
        <v>45.09</v>
      </c>
      <c r="L280" s="158">
        <v>22.2</v>
      </c>
      <c r="M280" s="158">
        <f t="shared" si="76"/>
        <v>67.29</v>
      </c>
      <c r="N280" s="158">
        <f t="shared" si="77"/>
        <v>49.2348636061211</v>
      </c>
      <c r="O280" s="158">
        <v>45.09</v>
      </c>
      <c r="P280" s="158">
        <v>20.44</v>
      </c>
      <c r="Q280" s="158">
        <v>24.65</v>
      </c>
      <c r="R280" s="158">
        <f t="shared" si="69"/>
        <v>22.2</v>
      </c>
      <c r="S280" s="158">
        <f t="shared" si="70"/>
        <v>67.29</v>
      </c>
      <c r="T280" s="169" t="s">
        <v>137</v>
      </c>
    </row>
    <row r="281" spans="1:20" ht="51" customHeight="1">
      <c r="A281" s="156">
        <v>2100799</v>
      </c>
      <c r="B281" s="157" t="s">
        <v>361</v>
      </c>
      <c r="C281" s="158">
        <v>781.62</v>
      </c>
      <c r="D281" s="158"/>
      <c r="E281" s="158">
        <f t="shared" si="75"/>
        <v>781.62</v>
      </c>
      <c r="F281" s="158">
        <v>-22.8</v>
      </c>
      <c r="G281" s="158">
        <v>-48.8</v>
      </c>
      <c r="H281" s="158">
        <v>0</v>
      </c>
      <c r="I281" s="158">
        <v>5</v>
      </c>
      <c r="J281" s="158">
        <f t="shared" si="66"/>
        <v>103.3</v>
      </c>
      <c r="K281" s="158">
        <v>715.02</v>
      </c>
      <c r="L281" s="158">
        <v>103.3</v>
      </c>
      <c r="M281" s="158">
        <f t="shared" si="76"/>
        <v>818.3199999999999</v>
      </c>
      <c r="N281" s="158">
        <f t="shared" si="77"/>
        <v>4.695376269798612</v>
      </c>
      <c r="O281" s="158">
        <v>715.02</v>
      </c>
      <c r="P281" s="158">
        <v>355.09</v>
      </c>
      <c r="Q281" s="158">
        <v>359.93</v>
      </c>
      <c r="R281" s="158">
        <f t="shared" si="69"/>
        <v>103.3</v>
      </c>
      <c r="S281" s="158">
        <f t="shared" si="70"/>
        <v>818.3199999999999</v>
      </c>
      <c r="T281" s="169" t="s">
        <v>362</v>
      </c>
    </row>
    <row r="282" spans="1:20" ht="28.5" customHeight="1">
      <c r="A282" s="156">
        <v>21010</v>
      </c>
      <c r="B282" s="157" t="s">
        <v>363</v>
      </c>
      <c r="C282" s="158">
        <v>280.66</v>
      </c>
      <c r="D282" s="158"/>
      <c r="E282" s="158">
        <f t="shared" si="75"/>
        <v>280.66</v>
      </c>
      <c r="F282" s="158">
        <v>9.28</v>
      </c>
      <c r="G282" s="158">
        <v>8</v>
      </c>
      <c r="H282" s="158">
        <v>0</v>
      </c>
      <c r="I282" s="158">
        <v>119.22</v>
      </c>
      <c r="J282" s="158">
        <f t="shared" si="66"/>
        <v>64</v>
      </c>
      <c r="K282" s="158">
        <v>417.16</v>
      </c>
      <c r="L282" s="158">
        <v>64</v>
      </c>
      <c r="M282" s="158">
        <f t="shared" si="76"/>
        <v>481.16</v>
      </c>
      <c r="N282" s="158">
        <f t="shared" si="77"/>
        <v>71.43875151428773</v>
      </c>
      <c r="O282" s="158">
        <v>417.16</v>
      </c>
      <c r="P282" s="158">
        <v>314.01</v>
      </c>
      <c r="Q282" s="158">
        <v>103.15</v>
      </c>
      <c r="R282" s="158">
        <f t="shared" si="69"/>
        <v>64</v>
      </c>
      <c r="S282" s="158">
        <f t="shared" si="70"/>
        <v>481.16</v>
      </c>
      <c r="T282" s="169"/>
    </row>
    <row r="283" spans="1:20" ht="67.5" customHeight="1">
      <c r="A283" s="156">
        <v>2101001</v>
      </c>
      <c r="B283" s="157" t="s">
        <v>87</v>
      </c>
      <c r="C283" s="158">
        <v>200.22</v>
      </c>
      <c r="D283" s="158"/>
      <c r="E283" s="158">
        <f t="shared" si="75"/>
        <v>200.22</v>
      </c>
      <c r="F283" s="158">
        <v>9.28</v>
      </c>
      <c r="G283" s="158">
        <v>0</v>
      </c>
      <c r="H283" s="158">
        <v>0</v>
      </c>
      <c r="I283" s="158">
        <v>53.06</v>
      </c>
      <c r="J283" s="158">
        <f t="shared" si="66"/>
        <v>0</v>
      </c>
      <c r="K283" s="158">
        <v>262.56</v>
      </c>
      <c r="L283" s="158"/>
      <c r="M283" s="158">
        <f t="shared" si="76"/>
        <v>262.56</v>
      </c>
      <c r="N283" s="158">
        <f t="shared" si="77"/>
        <v>31.13575067425831</v>
      </c>
      <c r="O283" s="158">
        <v>262.56</v>
      </c>
      <c r="P283" s="158">
        <v>174.61</v>
      </c>
      <c r="Q283" s="158">
        <v>87.95</v>
      </c>
      <c r="R283" s="158">
        <f t="shared" si="69"/>
        <v>0</v>
      </c>
      <c r="S283" s="158">
        <f t="shared" si="70"/>
        <v>262.56</v>
      </c>
      <c r="T283" s="169" t="s">
        <v>126</v>
      </c>
    </row>
    <row r="284" spans="1:20" ht="28.5" customHeight="1">
      <c r="A284" s="156">
        <v>2101016</v>
      </c>
      <c r="B284" s="157" t="s">
        <v>364</v>
      </c>
      <c r="C284" s="158">
        <v>48</v>
      </c>
      <c r="D284" s="158"/>
      <c r="E284" s="158">
        <f t="shared" si="75"/>
        <v>48</v>
      </c>
      <c r="F284" s="158">
        <v>0</v>
      </c>
      <c r="G284" s="158">
        <v>0</v>
      </c>
      <c r="H284" s="158">
        <v>0</v>
      </c>
      <c r="I284" s="158">
        <v>0</v>
      </c>
      <c r="J284" s="158">
        <f t="shared" si="66"/>
        <v>0</v>
      </c>
      <c r="K284" s="158">
        <v>48</v>
      </c>
      <c r="L284" s="158"/>
      <c r="M284" s="158">
        <f t="shared" si="76"/>
        <v>48</v>
      </c>
      <c r="N284" s="158">
        <f t="shared" si="77"/>
        <v>0</v>
      </c>
      <c r="O284" s="158">
        <v>48</v>
      </c>
      <c r="P284" s="158">
        <v>48</v>
      </c>
      <c r="Q284" s="158">
        <v>0</v>
      </c>
      <c r="R284" s="158">
        <f t="shared" si="69"/>
        <v>0</v>
      </c>
      <c r="S284" s="158">
        <f t="shared" si="70"/>
        <v>48</v>
      </c>
      <c r="T284" s="169"/>
    </row>
    <row r="285" spans="1:20" ht="93.75" customHeight="1">
      <c r="A285" s="156">
        <v>2101099</v>
      </c>
      <c r="B285" s="157" t="s">
        <v>365</v>
      </c>
      <c r="C285" s="158">
        <v>32.44</v>
      </c>
      <c r="D285" s="158"/>
      <c r="E285" s="158">
        <f t="shared" si="75"/>
        <v>32.44</v>
      </c>
      <c r="F285" s="158">
        <v>0</v>
      </c>
      <c r="G285" s="158">
        <v>8</v>
      </c>
      <c r="H285" s="158">
        <v>0</v>
      </c>
      <c r="I285" s="158">
        <v>66.16</v>
      </c>
      <c r="J285" s="158">
        <f t="shared" si="66"/>
        <v>64</v>
      </c>
      <c r="K285" s="158">
        <v>106.6</v>
      </c>
      <c r="L285" s="158">
        <v>64</v>
      </c>
      <c r="M285" s="158">
        <f t="shared" si="76"/>
        <v>170.6</v>
      </c>
      <c r="N285" s="158">
        <f t="shared" si="77"/>
        <v>425.8939580764489</v>
      </c>
      <c r="O285" s="158">
        <v>106.6</v>
      </c>
      <c r="P285" s="158">
        <v>91.4</v>
      </c>
      <c r="Q285" s="158">
        <v>15.2</v>
      </c>
      <c r="R285" s="158">
        <f t="shared" si="69"/>
        <v>64</v>
      </c>
      <c r="S285" s="158">
        <f t="shared" si="70"/>
        <v>170.6</v>
      </c>
      <c r="T285" s="169" t="s">
        <v>366</v>
      </c>
    </row>
    <row r="286" spans="1:20" ht="28.5" customHeight="1">
      <c r="A286" s="156">
        <v>21011</v>
      </c>
      <c r="B286" s="157" t="s">
        <v>367</v>
      </c>
      <c r="C286" s="158">
        <v>799.22</v>
      </c>
      <c r="D286" s="158"/>
      <c r="E286" s="158">
        <f t="shared" si="75"/>
        <v>799.22</v>
      </c>
      <c r="F286" s="158">
        <v>9.8</v>
      </c>
      <c r="G286" s="158">
        <v>0</v>
      </c>
      <c r="H286" s="158">
        <v>0</v>
      </c>
      <c r="I286" s="158">
        <v>0.33</v>
      </c>
      <c r="J286" s="158">
        <f t="shared" si="66"/>
        <v>0</v>
      </c>
      <c r="K286" s="158">
        <v>809.35</v>
      </c>
      <c r="L286" s="158"/>
      <c r="M286" s="158">
        <f t="shared" si="76"/>
        <v>809.35</v>
      </c>
      <c r="N286" s="158">
        <f t="shared" si="77"/>
        <v>1.267485798653678</v>
      </c>
      <c r="O286" s="158">
        <v>809.35</v>
      </c>
      <c r="P286" s="158">
        <v>580.02</v>
      </c>
      <c r="Q286" s="158">
        <v>229.33</v>
      </c>
      <c r="R286" s="158">
        <f t="shared" si="69"/>
        <v>0</v>
      </c>
      <c r="S286" s="158">
        <f t="shared" si="70"/>
        <v>809.35</v>
      </c>
      <c r="T286" s="169"/>
    </row>
    <row r="287" spans="1:20" ht="36.75" customHeight="1">
      <c r="A287" s="156">
        <v>2101199</v>
      </c>
      <c r="B287" s="157" t="s">
        <v>368</v>
      </c>
      <c r="C287" s="158">
        <v>799.22</v>
      </c>
      <c r="D287" s="158"/>
      <c r="E287" s="158">
        <f t="shared" si="75"/>
        <v>799.22</v>
      </c>
      <c r="F287" s="158">
        <v>9.8</v>
      </c>
      <c r="G287" s="158">
        <v>0</v>
      </c>
      <c r="H287" s="158">
        <v>0</v>
      </c>
      <c r="I287" s="158">
        <v>0.33</v>
      </c>
      <c r="J287" s="158">
        <f t="shared" si="66"/>
        <v>0</v>
      </c>
      <c r="K287" s="158">
        <v>809.35</v>
      </c>
      <c r="L287" s="158"/>
      <c r="M287" s="158">
        <f t="shared" si="76"/>
        <v>809.35</v>
      </c>
      <c r="N287" s="158">
        <f t="shared" si="77"/>
        <v>1.267485798653678</v>
      </c>
      <c r="O287" s="158">
        <v>809.35</v>
      </c>
      <c r="P287" s="158">
        <v>580.02</v>
      </c>
      <c r="Q287" s="158">
        <v>229.33</v>
      </c>
      <c r="R287" s="158">
        <f t="shared" si="69"/>
        <v>0</v>
      </c>
      <c r="S287" s="158">
        <f t="shared" si="70"/>
        <v>809.35</v>
      </c>
      <c r="T287" s="169" t="s">
        <v>369</v>
      </c>
    </row>
    <row r="288" spans="1:20" ht="36.75" customHeight="1">
      <c r="A288" s="156">
        <v>21012</v>
      </c>
      <c r="B288" s="157" t="s">
        <v>370</v>
      </c>
      <c r="C288" s="158">
        <v>976.1</v>
      </c>
      <c r="D288" s="158">
        <v>10221.75</v>
      </c>
      <c r="E288" s="158">
        <f t="shared" si="75"/>
        <v>11197.85</v>
      </c>
      <c r="F288" s="158">
        <v>33.9</v>
      </c>
      <c r="G288" s="158">
        <v>0</v>
      </c>
      <c r="H288" s="158">
        <v>0</v>
      </c>
      <c r="I288" s="158">
        <v>0</v>
      </c>
      <c r="J288" s="158">
        <f t="shared" si="66"/>
        <v>-201.3018830000001</v>
      </c>
      <c r="K288" s="158">
        <v>1010</v>
      </c>
      <c r="L288" s="158">
        <v>10020.448117</v>
      </c>
      <c r="M288" s="158">
        <f t="shared" si="76"/>
        <v>11030.448117</v>
      </c>
      <c r="N288" s="158">
        <f t="shared" si="77"/>
        <v>-1.4949466460079441</v>
      </c>
      <c r="O288" s="158">
        <v>1010</v>
      </c>
      <c r="P288" s="158">
        <v>899.8</v>
      </c>
      <c r="Q288" s="158">
        <v>110.2</v>
      </c>
      <c r="R288" s="158">
        <f t="shared" si="69"/>
        <v>10020.448117</v>
      </c>
      <c r="S288" s="158">
        <f t="shared" si="70"/>
        <v>11030.448117</v>
      </c>
      <c r="T288" s="169"/>
    </row>
    <row r="289" spans="1:20" ht="36.75" customHeight="1">
      <c r="A289" s="156">
        <v>2101202</v>
      </c>
      <c r="B289" s="157" t="s">
        <v>371</v>
      </c>
      <c r="C289" s="158">
        <v>976.1</v>
      </c>
      <c r="D289" s="158">
        <v>10221.75</v>
      </c>
      <c r="E289" s="158">
        <f t="shared" si="75"/>
        <v>11197.85</v>
      </c>
      <c r="F289" s="158">
        <v>33.9</v>
      </c>
      <c r="G289" s="158">
        <v>0</v>
      </c>
      <c r="H289" s="158">
        <v>0</v>
      </c>
      <c r="I289" s="158">
        <v>0</v>
      </c>
      <c r="J289" s="158">
        <f t="shared" si="66"/>
        <v>-201.3018830000001</v>
      </c>
      <c r="K289" s="158">
        <v>1010</v>
      </c>
      <c r="L289" s="158">
        <v>10020.448117</v>
      </c>
      <c r="M289" s="158">
        <f t="shared" si="76"/>
        <v>11030.448117</v>
      </c>
      <c r="N289" s="158">
        <f t="shared" si="77"/>
        <v>-1.4949466460079441</v>
      </c>
      <c r="O289" s="158">
        <v>1010</v>
      </c>
      <c r="P289" s="158">
        <v>899.8</v>
      </c>
      <c r="Q289" s="158">
        <v>110.2</v>
      </c>
      <c r="R289" s="158">
        <f t="shared" si="69"/>
        <v>10020.448117</v>
      </c>
      <c r="S289" s="158">
        <f t="shared" si="70"/>
        <v>11030.448117</v>
      </c>
      <c r="T289" s="169" t="s">
        <v>372</v>
      </c>
    </row>
    <row r="290" spans="1:20" s="75" customFormat="1" ht="28.5" customHeight="1">
      <c r="A290" s="156">
        <v>21013</v>
      </c>
      <c r="B290" s="157" t="s">
        <v>373</v>
      </c>
      <c r="C290" s="158">
        <v>301.2</v>
      </c>
      <c r="D290" s="158"/>
      <c r="E290" s="158">
        <f t="shared" si="75"/>
        <v>301.2</v>
      </c>
      <c r="F290" s="158">
        <v>82</v>
      </c>
      <c r="G290" s="158">
        <v>0</v>
      </c>
      <c r="H290" s="158">
        <v>0</v>
      </c>
      <c r="I290" s="158">
        <v>0</v>
      </c>
      <c r="J290" s="158">
        <f t="shared" si="66"/>
        <v>716</v>
      </c>
      <c r="K290" s="158">
        <v>383.2</v>
      </c>
      <c r="L290" s="158">
        <v>716</v>
      </c>
      <c r="M290" s="158">
        <f t="shared" si="76"/>
        <v>1099.2</v>
      </c>
      <c r="N290" s="158">
        <f t="shared" si="77"/>
        <v>264.9402390438247</v>
      </c>
      <c r="O290" s="158">
        <v>383.2</v>
      </c>
      <c r="P290" s="158">
        <v>0</v>
      </c>
      <c r="Q290" s="158">
        <v>383.2</v>
      </c>
      <c r="R290" s="158">
        <f t="shared" si="69"/>
        <v>716</v>
      </c>
      <c r="S290" s="158">
        <f t="shared" si="70"/>
        <v>1099.2</v>
      </c>
      <c r="T290" s="169"/>
    </row>
    <row r="291" spans="1:20" s="75" customFormat="1" ht="28.5" customHeight="1">
      <c r="A291" s="156">
        <v>2101301</v>
      </c>
      <c r="B291" s="157" t="s">
        <v>374</v>
      </c>
      <c r="C291" s="158">
        <v>300</v>
      </c>
      <c r="D291" s="158"/>
      <c r="E291" s="158">
        <f t="shared" si="75"/>
        <v>300</v>
      </c>
      <c r="F291" s="158">
        <v>82</v>
      </c>
      <c r="G291" s="158">
        <v>0</v>
      </c>
      <c r="H291" s="158">
        <v>0</v>
      </c>
      <c r="I291" s="158">
        <v>0</v>
      </c>
      <c r="J291" s="158">
        <f t="shared" si="66"/>
        <v>716</v>
      </c>
      <c r="K291" s="158">
        <v>382</v>
      </c>
      <c r="L291" s="158">
        <v>716</v>
      </c>
      <c r="M291" s="158">
        <f t="shared" si="76"/>
        <v>1098</v>
      </c>
      <c r="N291" s="158">
        <f t="shared" si="77"/>
        <v>266</v>
      </c>
      <c r="O291" s="158">
        <v>382</v>
      </c>
      <c r="P291" s="158">
        <v>0</v>
      </c>
      <c r="Q291" s="158">
        <v>382</v>
      </c>
      <c r="R291" s="158">
        <f t="shared" si="69"/>
        <v>716</v>
      </c>
      <c r="S291" s="158">
        <f t="shared" si="70"/>
        <v>1098</v>
      </c>
      <c r="T291" s="169" t="s">
        <v>375</v>
      </c>
    </row>
    <row r="292" spans="1:20" ht="28.5" customHeight="1">
      <c r="A292" s="156">
        <v>2101399</v>
      </c>
      <c r="B292" s="157" t="s">
        <v>376</v>
      </c>
      <c r="C292" s="158">
        <v>1.2</v>
      </c>
      <c r="D292" s="158"/>
      <c r="E292" s="158">
        <f t="shared" si="75"/>
        <v>1.2</v>
      </c>
      <c r="F292" s="158">
        <v>0</v>
      </c>
      <c r="G292" s="158">
        <v>0</v>
      </c>
      <c r="H292" s="158">
        <v>0</v>
      </c>
      <c r="I292" s="158">
        <v>0</v>
      </c>
      <c r="J292" s="158">
        <f t="shared" si="66"/>
        <v>0</v>
      </c>
      <c r="K292" s="158">
        <v>1.2</v>
      </c>
      <c r="L292" s="158"/>
      <c r="M292" s="158">
        <f t="shared" si="76"/>
        <v>1.2</v>
      </c>
      <c r="N292" s="158">
        <f t="shared" si="77"/>
        <v>0</v>
      </c>
      <c r="O292" s="158">
        <v>1.2</v>
      </c>
      <c r="P292" s="158">
        <v>0</v>
      </c>
      <c r="Q292" s="158">
        <v>1.2</v>
      </c>
      <c r="R292" s="158">
        <f t="shared" si="69"/>
        <v>0</v>
      </c>
      <c r="S292" s="158">
        <f t="shared" si="70"/>
        <v>1.2</v>
      </c>
      <c r="T292" s="169"/>
    </row>
    <row r="293" spans="1:20" ht="28.5" customHeight="1">
      <c r="A293" s="156">
        <v>21014</v>
      </c>
      <c r="B293" s="157" t="s">
        <v>377</v>
      </c>
      <c r="C293" s="158">
        <v>2.94</v>
      </c>
      <c r="D293" s="158">
        <v>15.6</v>
      </c>
      <c r="E293" s="158">
        <f t="shared" si="75"/>
        <v>18.54</v>
      </c>
      <c r="F293" s="158">
        <v>0</v>
      </c>
      <c r="G293" s="158">
        <v>0</v>
      </c>
      <c r="H293" s="158">
        <v>0</v>
      </c>
      <c r="I293" s="158">
        <v>0</v>
      </c>
      <c r="J293" s="158">
        <f t="shared" si="66"/>
        <v>0.9035999999999991</v>
      </c>
      <c r="K293" s="158">
        <v>2.94</v>
      </c>
      <c r="L293" s="158">
        <v>16.5036</v>
      </c>
      <c r="M293" s="158">
        <f t="shared" si="76"/>
        <v>19.4436</v>
      </c>
      <c r="N293" s="158">
        <f t="shared" si="77"/>
        <v>4.873786407766989</v>
      </c>
      <c r="O293" s="158">
        <v>2.94</v>
      </c>
      <c r="P293" s="158">
        <v>0</v>
      </c>
      <c r="Q293" s="158">
        <v>2.94</v>
      </c>
      <c r="R293" s="158">
        <f t="shared" si="69"/>
        <v>16.5036</v>
      </c>
      <c r="S293" s="158">
        <f t="shared" si="70"/>
        <v>19.4436</v>
      </c>
      <c r="T293" s="169"/>
    </row>
    <row r="294" spans="1:20" ht="28.5" customHeight="1">
      <c r="A294" s="156">
        <v>2101401</v>
      </c>
      <c r="B294" s="157" t="s">
        <v>378</v>
      </c>
      <c r="C294" s="158">
        <v>2.94</v>
      </c>
      <c r="D294" s="158">
        <v>15.6</v>
      </c>
      <c r="E294" s="158">
        <f t="shared" si="75"/>
        <v>18.54</v>
      </c>
      <c r="F294" s="158">
        <v>0</v>
      </c>
      <c r="G294" s="158">
        <v>0</v>
      </c>
      <c r="H294" s="158">
        <v>0</v>
      </c>
      <c r="I294" s="158">
        <v>0</v>
      </c>
      <c r="J294" s="158">
        <f t="shared" si="66"/>
        <v>0.9035999999999991</v>
      </c>
      <c r="K294" s="158">
        <v>2.94</v>
      </c>
      <c r="L294" s="158">
        <v>16.5036</v>
      </c>
      <c r="M294" s="158">
        <f t="shared" si="76"/>
        <v>19.4436</v>
      </c>
      <c r="N294" s="158">
        <f t="shared" si="77"/>
        <v>4.873786407766989</v>
      </c>
      <c r="O294" s="158">
        <v>2.94</v>
      </c>
      <c r="P294" s="158">
        <v>0</v>
      </c>
      <c r="Q294" s="158">
        <v>2.94</v>
      </c>
      <c r="R294" s="158">
        <f t="shared" si="69"/>
        <v>16.5036</v>
      </c>
      <c r="S294" s="158">
        <f t="shared" si="70"/>
        <v>19.4436</v>
      </c>
      <c r="T294" s="169" t="s">
        <v>137</v>
      </c>
    </row>
    <row r="295" spans="1:20" ht="36.75" customHeight="1">
      <c r="A295" s="156">
        <v>21099</v>
      </c>
      <c r="B295" s="157" t="s">
        <v>379</v>
      </c>
      <c r="C295" s="158">
        <v>300</v>
      </c>
      <c r="D295" s="158">
        <v>4.4</v>
      </c>
      <c r="E295" s="158">
        <f t="shared" si="75"/>
        <v>304.4</v>
      </c>
      <c r="F295" s="158">
        <v>600</v>
      </c>
      <c r="G295" s="158">
        <v>0</v>
      </c>
      <c r="H295" s="158">
        <v>0</v>
      </c>
      <c r="I295" s="158">
        <v>-98.96</v>
      </c>
      <c r="J295" s="158">
        <f t="shared" si="66"/>
        <v>3</v>
      </c>
      <c r="K295" s="158">
        <v>801.04</v>
      </c>
      <c r="L295" s="158">
        <v>7.4</v>
      </c>
      <c r="M295" s="158">
        <f t="shared" si="76"/>
        <v>808.4399999999999</v>
      </c>
      <c r="N295" s="158">
        <f t="shared" si="77"/>
        <v>165.58475689881735</v>
      </c>
      <c r="O295" s="158">
        <v>801.04</v>
      </c>
      <c r="P295" s="158">
        <v>150</v>
      </c>
      <c r="Q295" s="158">
        <v>651.04</v>
      </c>
      <c r="R295" s="158">
        <f t="shared" si="69"/>
        <v>7.4</v>
      </c>
      <c r="S295" s="158">
        <f t="shared" si="70"/>
        <v>808.4399999999999</v>
      </c>
      <c r="T295" s="169"/>
    </row>
    <row r="296" spans="1:20" ht="75.75" customHeight="1">
      <c r="A296" s="156">
        <v>2109901</v>
      </c>
      <c r="B296" s="157" t="s">
        <v>379</v>
      </c>
      <c r="C296" s="158">
        <v>300</v>
      </c>
      <c r="D296" s="158">
        <v>4.4</v>
      </c>
      <c r="E296" s="158">
        <f t="shared" si="75"/>
        <v>304.4</v>
      </c>
      <c r="F296" s="158">
        <v>600</v>
      </c>
      <c r="G296" s="158">
        <v>0</v>
      </c>
      <c r="H296" s="158">
        <v>0</v>
      </c>
      <c r="I296" s="158">
        <v>-98.96</v>
      </c>
      <c r="J296" s="158">
        <f t="shared" si="66"/>
        <v>3</v>
      </c>
      <c r="K296" s="158">
        <v>801.04</v>
      </c>
      <c r="L296" s="158">
        <v>7.4</v>
      </c>
      <c r="M296" s="158">
        <f t="shared" si="76"/>
        <v>808.4399999999999</v>
      </c>
      <c r="N296" s="158">
        <f t="shared" si="77"/>
        <v>165.58475689881735</v>
      </c>
      <c r="O296" s="158">
        <v>801.04</v>
      </c>
      <c r="P296" s="158">
        <v>150</v>
      </c>
      <c r="Q296" s="158">
        <v>651.04</v>
      </c>
      <c r="R296" s="158">
        <f t="shared" si="69"/>
        <v>7.4</v>
      </c>
      <c r="S296" s="158">
        <f t="shared" si="70"/>
        <v>808.4399999999999</v>
      </c>
      <c r="T296" s="169" t="s">
        <v>380</v>
      </c>
    </row>
    <row r="297" spans="1:20" ht="28.5" customHeight="1">
      <c r="A297" s="156">
        <v>211</v>
      </c>
      <c r="B297" s="157" t="s">
        <v>381</v>
      </c>
      <c r="C297" s="158">
        <f aca="true" t="shared" si="78" ref="C297:I297">C298+C301+C303+C306</f>
        <v>141.66</v>
      </c>
      <c r="D297" s="158">
        <f t="shared" si="78"/>
        <v>0</v>
      </c>
      <c r="E297" s="158">
        <f t="shared" si="75"/>
        <v>141.66</v>
      </c>
      <c r="F297" s="158">
        <f t="shared" si="78"/>
        <v>0</v>
      </c>
      <c r="G297" s="158">
        <f t="shared" si="78"/>
        <v>0</v>
      </c>
      <c r="H297" s="158">
        <f t="shared" si="78"/>
        <v>0</v>
      </c>
      <c r="I297" s="158">
        <f t="shared" si="78"/>
        <v>69.79</v>
      </c>
      <c r="J297" s="158">
        <f t="shared" si="66"/>
        <v>788</v>
      </c>
      <c r="K297" s="158">
        <f aca="true" t="shared" si="79" ref="K297:S297">K298+K301+K303+K306</f>
        <v>211.45000000000002</v>
      </c>
      <c r="L297" s="158">
        <v>788</v>
      </c>
      <c r="M297" s="158">
        <f t="shared" si="76"/>
        <v>999.45</v>
      </c>
      <c r="N297" s="158">
        <f t="shared" si="77"/>
        <v>605.5273189326557</v>
      </c>
      <c r="O297" s="158">
        <f t="shared" si="79"/>
        <v>211.45000000000002</v>
      </c>
      <c r="P297" s="158">
        <f t="shared" si="79"/>
        <v>99.22</v>
      </c>
      <c r="Q297" s="158">
        <f t="shared" si="79"/>
        <v>112.22999999999999</v>
      </c>
      <c r="R297" s="158">
        <f t="shared" si="79"/>
        <v>788</v>
      </c>
      <c r="S297" s="158">
        <f t="shared" si="79"/>
        <v>999.45</v>
      </c>
      <c r="T297" s="169"/>
    </row>
    <row r="298" spans="1:20" ht="28.5" customHeight="1">
      <c r="A298" s="156">
        <v>21101</v>
      </c>
      <c r="B298" s="157" t="s">
        <v>382</v>
      </c>
      <c r="C298" s="158">
        <v>16</v>
      </c>
      <c r="D298" s="158"/>
      <c r="E298" s="158">
        <f t="shared" si="75"/>
        <v>16</v>
      </c>
      <c r="F298" s="158">
        <v>0</v>
      </c>
      <c r="G298" s="158">
        <v>0</v>
      </c>
      <c r="H298" s="158">
        <v>0</v>
      </c>
      <c r="I298" s="158">
        <v>69.79</v>
      </c>
      <c r="J298" s="158">
        <f t="shared" si="66"/>
        <v>0</v>
      </c>
      <c r="K298" s="158">
        <v>85.79</v>
      </c>
      <c r="L298" s="158"/>
      <c r="M298" s="158">
        <f t="shared" si="76"/>
        <v>85.79</v>
      </c>
      <c r="N298" s="158">
        <f t="shared" si="77"/>
        <v>436.18750000000006</v>
      </c>
      <c r="O298" s="158">
        <v>85.79</v>
      </c>
      <c r="P298" s="158">
        <v>58.22</v>
      </c>
      <c r="Q298" s="158">
        <v>27.57</v>
      </c>
      <c r="R298" s="158">
        <f aca="true" t="shared" si="80" ref="R298:R307">L298</f>
        <v>0</v>
      </c>
      <c r="S298" s="158">
        <f aca="true" t="shared" si="81" ref="S298:S307">M298</f>
        <v>85.79</v>
      </c>
      <c r="T298" s="169"/>
    </row>
    <row r="299" spans="1:20" ht="52.5" customHeight="1">
      <c r="A299" s="156">
        <v>2110101</v>
      </c>
      <c r="B299" s="157" t="s">
        <v>87</v>
      </c>
      <c r="C299" s="158">
        <v>0</v>
      </c>
      <c r="D299" s="158"/>
      <c r="E299" s="158">
        <f t="shared" si="75"/>
        <v>0</v>
      </c>
      <c r="F299" s="158">
        <v>0</v>
      </c>
      <c r="G299" s="158">
        <v>0</v>
      </c>
      <c r="H299" s="158">
        <v>0</v>
      </c>
      <c r="I299" s="158">
        <v>69.79</v>
      </c>
      <c r="J299" s="158">
        <f t="shared" si="66"/>
        <v>0</v>
      </c>
      <c r="K299" s="158">
        <v>69.79</v>
      </c>
      <c r="L299" s="158"/>
      <c r="M299" s="158">
        <f t="shared" si="76"/>
        <v>69.79</v>
      </c>
      <c r="N299" s="158">
        <v>100</v>
      </c>
      <c r="O299" s="158">
        <v>69.79</v>
      </c>
      <c r="P299" s="158">
        <v>42.22</v>
      </c>
      <c r="Q299" s="158">
        <v>27.57</v>
      </c>
      <c r="R299" s="158">
        <f t="shared" si="80"/>
        <v>0</v>
      </c>
      <c r="S299" s="158">
        <f t="shared" si="81"/>
        <v>69.79</v>
      </c>
      <c r="T299" s="169" t="s">
        <v>88</v>
      </c>
    </row>
    <row r="300" spans="1:20" ht="40.5" customHeight="1">
      <c r="A300" s="156">
        <v>2110199</v>
      </c>
      <c r="B300" s="157" t="s">
        <v>383</v>
      </c>
      <c r="C300" s="158">
        <v>16</v>
      </c>
      <c r="D300" s="158"/>
      <c r="E300" s="158">
        <f t="shared" si="75"/>
        <v>16</v>
      </c>
      <c r="F300" s="158">
        <v>0</v>
      </c>
      <c r="G300" s="158">
        <v>0</v>
      </c>
      <c r="H300" s="158">
        <v>0</v>
      </c>
      <c r="I300" s="158">
        <v>0</v>
      </c>
      <c r="J300" s="158">
        <f t="shared" si="66"/>
        <v>0</v>
      </c>
      <c r="K300" s="158">
        <v>16</v>
      </c>
      <c r="L300" s="158"/>
      <c r="M300" s="158">
        <f t="shared" si="76"/>
        <v>16</v>
      </c>
      <c r="N300" s="158">
        <f aca="true" t="shared" si="82" ref="N300:N303">(M300/E300-1)*100</f>
        <v>0</v>
      </c>
      <c r="O300" s="158">
        <v>16</v>
      </c>
      <c r="P300" s="158">
        <v>16</v>
      </c>
      <c r="Q300" s="158">
        <v>0</v>
      </c>
      <c r="R300" s="158">
        <f t="shared" si="80"/>
        <v>0</v>
      </c>
      <c r="S300" s="158">
        <f t="shared" si="81"/>
        <v>16</v>
      </c>
      <c r="T300" s="169"/>
    </row>
    <row r="301" spans="1:20" ht="28.5" customHeight="1">
      <c r="A301" s="156">
        <v>21102</v>
      </c>
      <c r="B301" s="157" t="s">
        <v>384</v>
      </c>
      <c r="C301" s="158">
        <v>80</v>
      </c>
      <c r="D301" s="158"/>
      <c r="E301" s="158">
        <f t="shared" si="75"/>
        <v>80</v>
      </c>
      <c r="F301" s="158">
        <v>0</v>
      </c>
      <c r="G301" s="158">
        <v>0</v>
      </c>
      <c r="H301" s="158">
        <v>0</v>
      </c>
      <c r="I301" s="158">
        <v>0</v>
      </c>
      <c r="J301" s="158">
        <f t="shared" si="66"/>
        <v>0</v>
      </c>
      <c r="K301" s="158">
        <v>80</v>
      </c>
      <c r="L301" s="158"/>
      <c r="M301" s="158">
        <f t="shared" si="76"/>
        <v>80</v>
      </c>
      <c r="N301" s="158">
        <f t="shared" si="82"/>
        <v>0</v>
      </c>
      <c r="O301" s="158">
        <v>80</v>
      </c>
      <c r="P301" s="158">
        <v>40</v>
      </c>
      <c r="Q301" s="158">
        <v>40</v>
      </c>
      <c r="R301" s="158">
        <f t="shared" si="80"/>
        <v>0</v>
      </c>
      <c r="S301" s="158">
        <f t="shared" si="81"/>
        <v>80</v>
      </c>
      <c r="T301" s="169"/>
    </row>
    <row r="302" spans="1:20" ht="28.5" customHeight="1">
      <c r="A302" s="156">
        <v>2110299</v>
      </c>
      <c r="B302" s="157" t="s">
        <v>385</v>
      </c>
      <c r="C302" s="158">
        <v>80</v>
      </c>
      <c r="D302" s="158"/>
      <c r="E302" s="158">
        <f t="shared" si="75"/>
        <v>80</v>
      </c>
      <c r="F302" s="158">
        <v>0</v>
      </c>
      <c r="G302" s="158">
        <v>0</v>
      </c>
      <c r="H302" s="158">
        <v>0</v>
      </c>
      <c r="I302" s="158">
        <v>0</v>
      </c>
      <c r="J302" s="158">
        <f t="shared" si="66"/>
        <v>0</v>
      </c>
      <c r="K302" s="158">
        <v>80</v>
      </c>
      <c r="L302" s="158"/>
      <c r="M302" s="158">
        <f t="shared" si="76"/>
        <v>80</v>
      </c>
      <c r="N302" s="158">
        <f t="shared" si="82"/>
        <v>0</v>
      </c>
      <c r="O302" s="158">
        <v>80</v>
      </c>
      <c r="P302" s="158">
        <v>40</v>
      </c>
      <c r="Q302" s="158">
        <v>40</v>
      </c>
      <c r="R302" s="158">
        <f t="shared" si="80"/>
        <v>0</v>
      </c>
      <c r="S302" s="158">
        <f t="shared" si="81"/>
        <v>80</v>
      </c>
      <c r="T302" s="169"/>
    </row>
    <row r="303" spans="1:20" ht="28.5" customHeight="1">
      <c r="A303" s="156">
        <v>21103</v>
      </c>
      <c r="B303" s="157" t="s">
        <v>386</v>
      </c>
      <c r="C303" s="158">
        <v>6.66</v>
      </c>
      <c r="D303" s="158"/>
      <c r="E303" s="158">
        <f t="shared" si="75"/>
        <v>6.66</v>
      </c>
      <c r="F303" s="158">
        <v>0</v>
      </c>
      <c r="G303" s="158">
        <v>0</v>
      </c>
      <c r="H303" s="158">
        <v>0</v>
      </c>
      <c r="I303" s="158">
        <v>0</v>
      </c>
      <c r="J303" s="158">
        <f t="shared" si="66"/>
        <v>280</v>
      </c>
      <c r="K303" s="158">
        <v>6.66</v>
      </c>
      <c r="L303" s="158">
        <v>280</v>
      </c>
      <c r="M303" s="158">
        <f t="shared" si="76"/>
        <v>286.66</v>
      </c>
      <c r="N303" s="158">
        <f t="shared" si="82"/>
        <v>4204.204204204205</v>
      </c>
      <c r="O303" s="158">
        <v>6.66</v>
      </c>
      <c r="P303" s="158">
        <v>0</v>
      </c>
      <c r="Q303" s="158">
        <v>6.66</v>
      </c>
      <c r="R303" s="158">
        <f t="shared" si="80"/>
        <v>280</v>
      </c>
      <c r="S303" s="158">
        <f t="shared" si="81"/>
        <v>286.66</v>
      </c>
      <c r="T303" s="169"/>
    </row>
    <row r="304" spans="1:20" ht="28.5" customHeight="1">
      <c r="A304" s="156">
        <v>2110302</v>
      </c>
      <c r="B304" s="157" t="s">
        <v>387</v>
      </c>
      <c r="C304" s="158"/>
      <c r="D304" s="158"/>
      <c r="E304" s="158"/>
      <c r="F304" s="158"/>
      <c r="G304" s="158"/>
      <c r="H304" s="158"/>
      <c r="I304" s="158"/>
      <c r="J304" s="158">
        <f t="shared" si="66"/>
        <v>230</v>
      </c>
      <c r="K304" s="158"/>
      <c r="L304" s="158">
        <v>230</v>
      </c>
      <c r="M304" s="158">
        <f>L304+K304</f>
        <v>230</v>
      </c>
      <c r="N304" s="158">
        <v>100</v>
      </c>
      <c r="O304" s="158"/>
      <c r="P304" s="158"/>
      <c r="Q304" s="158"/>
      <c r="R304" s="158">
        <f t="shared" si="80"/>
        <v>230</v>
      </c>
      <c r="S304" s="158">
        <f t="shared" si="81"/>
        <v>230</v>
      </c>
      <c r="T304" s="169" t="s">
        <v>137</v>
      </c>
    </row>
    <row r="305" spans="1:20" ht="28.5" customHeight="1">
      <c r="A305" s="156">
        <v>2110399</v>
      </c>
      <c r="B305" s="157" t="s">
        <v>388</v>
      </c>
      <c r="C305" s="158">
        <v>6.66</v>
      </c>
      <c r="D305" s="158"/>
      <c r="E305" s="158">
        <f aca="true" t="shared" si="83" ref="E305:E334">C305+D305</f>
        <v>6.66</v>
      </c>
      <c r="F305" s="158">
        <v>0</v>
      </c>
      <c r="G305" s="158">
        <v>0</v>
      </c>
      <c r="H305" s="158">
        <v>0</v>
      </c>
      <c r="I305" s="158">
        <v>0</v>
      </c>
      <c r="J305" s="158">
        <f t="shared" si="66"/>
        <v>50</v>
      </c>
      <c r="K305" s="158">
        <v>6.66</v>
      </c>
      <c r="L305" s="158">
        <v>50</v>
      </c>
      <c r="M305" s="158">
        <f aca="true" t="shared" si="84" ref="M305:M334">K305+L305</f>
        <v>56.66</v>
      </c>
      <c r="N305" s="158">
        <f aca="true" t="shared" si="85" ref="N305:N332">(M305/E305-1)*100</f>
        <v>750.7507507507506</v>
      </c>
      <c r="O305" s="158">
        <v>6.66</v>
      </c>
      <c r="P305" s="158">
        <v>0</v>
      </c>
      <c r="Q305" s="158">
        <v>6.66</v>
      </c>
      <c r="R305" s="158">
        <f t="shared" si="80"/>
        <v>50</v>
      </c>
      <c r="S305" s="158">
        <f t="shared" si="81"/>
        <v>56.66</v>
      </c>
      <c r="T305" s="169" t="s">
        <v>137</v>
      </c>
    </row>
    <row r="306" spans="1:20" ht="28.5" customHeight="1">
      <c r="A306" s="156">
        <v>21199</v>
      </c>
      <c r="B306" s="157" t="s">
        <v>389</v>
      </c>
      <c r="C306" s="158">
        <v>39</v>
      </c>
      <c r="D306" s="158"/>
      <c r="E306" s="158">
        <f t="shared" si="83"/>
        <v>39</v>
      </c>
      <c r="F306" s="158">
        <v>0</v>
      </c>
      <c r="G306" s="158">
        <v>0</v>
      </c>
      <c r="H306" s="158">
        <v>0</v>
      </c>
      <c r="I306" s="158">
        <v>0</v>
      </c>
      <c r="J306" s="158">
        <f aca="true" t="shared" si="86" ref="J306:J369">L306-D306</f>
        <v>508</v>
      </c>
      <c r="K306" s="158">
        <v>39</v>
      </c>
      <c r="L306" s="158">
        <v>508</v>
      </c>
      <c r="M306" s="158">
        <f t="shared" si="84"/>
        <v>547</v>
      </c>
      <c r="N306" s="158">
        <f t="shared" si="85"/>
        <v>1302.5641025641025</v>
      </c>
      <c r="O306" s="158">
        <v>39</v>
      </c>
      <c r="P306" s="158">
        <v>1</v>
      </c>
      <c r="Q306" s="158">
        <v>38</v>
      </c>
      <c r="R306" s="158">
        <f t="shared" si="80"/>
        <v>508</v>
      </c>
      <c r="S306" s="158">
        <f t="shared" si="81"/>
        <v>547</v>
      </c>
      <c r="T306" s="169"/>
    </row>
    <row r="307" spans="1:20" ht="28.5" customHeight="1">
      <c r="A307" s="156">
        <v>2119901</v>
      </c>
      <c r="B307" s="157" t="s">
        <v>389</v>
      </c>
      <c r="C307" s="158">
        <v>39</v>
      </c>
      <c r="D307" s="158"/>
      <c r="E307" s="158">
        <f t="shared" si="83"/>
        <v>39</v>
      </c>
      <c r="F307" s="158">
        <v>0</v>
      </c>
      <c r="G307" s="158">
        <v>0</v>
      </c>
      <c r="H307" s="158">
        <v>0</v>
      </c>
      <c r="I307" s="158">
        <v>0</v>
      </c>
      <c r="J307" s="158">
        <f t="shared" si="86"/>
        <v>508</v>
      </c>
      <c r="K307" s="158">
        <v>39</v>
      </c>
      <c r="L307" s="158">
        <v>508</v>
      </c>
      <c r="M307" s="158">
        <f t="shared" si="84"/>
        <v>547</v>
      </c>
      <c r="N307" s="158">
        <f t="shared" si="85"/>
        <v>1302.5641025641025</v>
      </c>
      <c r="O307" s="158">
        <v>39</v>
      </c>
      <c r="P307" s="158">
        <v>1</v>
      </c>
      <c r="Q307" s="158">
        <v>38</v>
      </c>
      <c r="R307" s="158">
        <f t="shared" si="80"/>
        <v>508</v>
      </c>
      <c r="S307" s="158">
        <f t="shared" si="81"/>
        <v>547</v>
      </c>
      <c r="T307" s="169" t="s">
        <v>137</v>
      </c>
    </row>
    <row r="308" spans="1:20" ht="28.5" customHeight="1">
      <c r="A308" s="156">
        <v>212</v>
      </c>
      <c r="B308" s="157" t="s">
        <v>390</v>
      </c>
      <c r="C308" s="158">
        <f aca="true" t="shared" si="87" ref="C308:I308">C309+C314+C316+C318+C320</f>
        <v>10580.03</v>
      </c>
      <c r="D308" s="158">
        <f t="shared" si="87"/>
        <v>1216.47</v>
      </c>
      <c r="E308" s="158">
        <f t="shared" si="83"/>
        <v>11796.5</v>
      </c>
      <c r="F308" s="158">
        <f t="shared" si="87"/>
        <v>553.32</v>
      </c>
      <c r="G308" s="158">
        <f t="shared" si="87"/>
        <v>-79</v>
      </c>
      <c r="H308" s="158">
        <f t="shared" si="87"/>
        <v>0</v>
      </c>
      <c r="I308" s="158">
        <f t="shared" si="87"/>
        <v>906.77</v>
      </c>
      <c r="J308" s="158">
        <f t="shared" si="86"/>
        <v>19476</v>
      </c>
      <c r="K308" s="158">
        <f aca="true" t="shared" si="88" ref="K308:S308">K309+K314+K316+K318+K320</f>
        <v>11961.12</v>
      </c>
      <c r="L308" s="158">
        <v>20692.47</v>
      </c>
      <c r="M308" s="158">
        <f t="shared" si="84"/>
        <v>32653.590000000004</v>
      </c>
      <c r="N308" s="158">
        <f t="shared" si="85"/>
        <v>176.8074428856017</v>
      </c>
      <c r="O308" s="158">
        <f t="shared" si="88"/>
        <v>11961.12</v>
      </c>
      <c r="P308" s="158">
        <f t="shared" si="88"/>
        <v>6421.2300000000005</v>
      </c>
      <c r="Q308" s="158">
        <f t="shared" si="88"/>
        <v>5539.889999999999</v>
      </c>
      <c r="R308" s="158">
        <f t="shared" si="88"/>
        <v>20692.47</v>
      </c>
      <c r="S308" s="158">
        <f t="shared" si="88"/>
        <v>32653.59</v>
      </c>
      <c r="T308" s="169"/>
    </row>
    <row r="309" spans="1:20" ht="28.5" customHeight="1">
      <c r="A309" s="156">
        <v>21201</v>
      </c>
      <c r="B309" s="157" t="s">
        <v>391</v>
      </c>
      <c r="C309" s="158">
        <v>9409.69</v>
      </c>
      <c r="D309" s="158">
        <v>94</v>
      </c>
      <c r="E309" s="158">
        <f t="shared" si="83"/>
        <v>9503.69</v>
      </c>
      <c r="F309" s="158">
        <v>367.24</v>
      </c>
      <c r="G309" s="158">
        <v>-70</v>
      </c>
      <c r="H309" s="158">
        <v>0</v>
      </c>
      <c r="I309" s="158">
        <v>880.8</v>
      </c>
      <c r="J309" s="158">
        <f t="shared" si="86"/>
        <v>10</v>
      </c>
      <c r="K309" s="158">
        <v>10587.73</v>
      </c>
      <c r="L309" s="158">
        <v>104</v>
      </c>
      <c r="M309" s="158">
        <f t="shared" si="84"/>
        <v>10691.73</v>
      </c>
      <c r="N309" s="158">
        <f t="shared" si="85"/>
        <v>12.500828625512828</v>
      </c>
      <c r="O309" s="158">
        <v>10587.73</v>
      </c>
      <c r="P309" s="158">
        <v>6097.91</v>
      </c>
      <c r="Q309" s="158">
        <v>4489.82</v>
      </c>
      <c r="R309" s="158">
        <f aca="true" t="shared" si="89" ref="R309:R321">L309</f>
        <v>104</v>
      </c>
      <c r="S309" s="158">
        <f aca="true" t="shared" si="90" ref="S309:S321">M309</f>
        <v>10691.73</v>
      </c>
      <c r="T309" s="169"/>
    </row>
    <row r="310" spans="1:20" ht="66" customHeight="1">
      <c r="A310" s="156">
        <v>2120101</v>
      </c>
      <c r="B310" s="157" t="s">
        <v>87</v>
      </c>
      <c r="C310" s="158">
        <v>1696.81</v>
      </c>
      <c r="D310" s="158"/>
      <c r="E310" s="158">
        <f t="shared" si="83"/>
        <v>1696.81</v>
      </c>
      <c r="F310" s="158">
        <v>120.79</v>
      </c>
      <c r="G310" s="158">
        <v>0</v>
      </c>
      <c r="H310" s="158">
        <v>0</v>
      </c>
      <c r="I310" s="158">
        <v>85.41</v>
      </c>
      <c r="J310" s="158">
        <f t="shared" si="86"/>
        <v>0</v>
      </c>
      <c r="K310" s="158">
        <v>1903.01</v>
      </c>
      <c r="L310" s="158"/>
      <c r="M310" s="158">
        <f t="shared" si="84"/>
        <v>1903.01</v>
      </c>
      <c r="N310" s="158">
        <f t="shared" si="85"/>
        <v>12.152215038808123</v>
      </c>
      <c r="O310" s="158">
        <v>1903.01</v>
      </c>
      <c r="P310" s="158">
        <v>930.63</v>
      </c>
      <c r="Q310" s="158">
        <v>972.38</v>
      </c>
      <c r="R310" s="158">
        <f t="shared" si="89"/>
        <v>0</v>
      </c>
      <c r="S310" s="158">
        <f t="shared" si="90"/>
        <v>1903.01</v>
      </c>
      <c r="T310" s="169" t="s">
        <v>103</v>
      </c>
    </row>
    <row r="311" spans="1:20" ht="28.5" customHeight="1">
      <c r="A311" s="156">
        <v>2120104</v>
      </c>
      <c r="B311" s="157" t="s">
        <v>392</v>
      </c>
      <c r="C311" s="158">
        <v>40</v>
      </c>
      <c r="D311" s="158"/>
      <c r="E311" s="158">
        <f t="shared" si="83"/>
        <v>40</v>
      </c>
      <c r="F311" s="158">
        <v>0</v>
      </c>
      <c r="G311" s="158">
        <v>0</v>
      </c>
      <c r="H311" s="158">
        <v>0</v>
      </c>
      <c r="I311" s="158">
        <v>0</v>
      </c>
      <c r="J311" s="158">
        <f t="shared" si="86"/>
        <v>0</v>
      </c>
      <c r="K311" s="158">
        <v>40</v>
      </c>
      <c r="L311" s="158"/>
      <c r="M311" s="158">
        <f t="shared" si="84"/>
        <v>40</v>
      </c>
      <c r="N311" s="158">
        <f t="shared" si="85"/>
        <v>0</v>
      </c>
      <c r="O311" s="158">
        <v>40</v>
      </c>
      <c r="P311" s="158">
        <v>20</v>
      </c>
      <c r="Q311" s="158">
        <v>20</v>
      </c>
      <c r="R311" s="158">
        <f t="shared" si="89"/>
        <v>0</v>
      </c>
      <c r="S311" s="158">
        <f t="shared" si="90"/>
        <v>40</v>
      </c>
      <c r="T311" s="169"/>
    </row>
    <row r="312" spans="1:20" ht="66" customHeight="1">
      <c r="A312" s="156">
        <v>2120106</v>
      </c>
      <c r="B312" s="157" t="s">
        <v>393</v>
      </c>
      <c r="C312" s="158">
        <v>161.06</v>
      </c>
      <c r="D312" s="158"/>
      <c r="E312" s="158">
        <f t="shared" si="83"/>
        <v>161.06</v>
      </c>
      <c r="F312" s="158">
        <v>-15.11</v>
      </c>
      <c r="G312" s="158">
        <v>0</v>
      </c>
      <c r="H312" s="158">
        <v>0</v>
      </c>
      <c r="I312" s="158">
        <v>11.68</v>
      </c>
      <c r="J312" s="158">
        <f t="shared" si="86"/>
        <v>0</v>
      </c>
      <c r="K312" s="158">
        <v>157.63</v>
      </c>
      <c r="L312" s="158"/>
      <c r="M312" s="158">
        <f t="shared" si="84"/>
        <v>157.63</v>
      </c>
      <c r="N312" s="158">
        <f t="shared" si="85"/>
        <v>-2.129641127530113</v>
      </c>
      <c r="O312" s="158">
        <v>157.63</v>
      </c>
      <c r="P312" s="158">
        <v>94.45</v>
      </c>
      <c r="Q312" s="158">
        <v>63.18</v>
      </c>
      <c r="R312" s="158">
        <f t="shared" si="89"/>
        <v>0</v>
      </c>
      <c r="S312" s="158">
        <f t="shared" si="90"/>
        <v>157.63</v>
      </c>
      <c r="T312" s="169" t="s">
        <v>103</v>
      </c>
    </row>
    <row r="313" spans="1:20" ht="118.5" customHeight="1">
      <c r="A313" s="156">
        <v>2120199</v>
      </c>
      <c r="B313" s="157" t="s">
        <v>394</v>
      </c>
      <c r="C313" s="158">
        <v>7511.82</v>
      </c>
      <c r="D313" s="158">
        <v>94</v>
      </c>
      <c r="E313" s="158">
        <f t="shared" si="83"/>
        <v>7605.82</v>
      </c>
      <c r="F313" s="158">
        <v>261.56</v>
      </c>
      <c r="G313" s="158">
        <v>-70</v>
      </c>
      <c r="H313" s="158">
        <v>0</v>
      </c>
      <c r="I313" s="158">
        <v>783.71</v>
      </c>
      <c r="J313" s="158">
        <f t="shared" si="86"/>
        <v>10</v>
      </c>
      <c r="K313" s="158">
        <v>8487.09</v>
      </c>
      <c r="L313" s="158">
        <v>104</v>
      </c>
      <c r="M313" s="158">
        <f t="shared" si="84"/>
        <v>8591.09</v>
      </c>
      <c r="N313" s="158">
        <f t="shared" si="85"/>
        <v>12.954158788927428</v>
      </c>
      <c r="O313" s="158">
        <v>8487.09</v>
      </c>
      <c r="P313" s="158">
        <v>5052.83</v>
      </c>
      <c r="Q313" s="158">
        <v>3434.26</v>
      </c>
      <c r="R313" s="158">
        <f t="shared" si="89"/>
        <v>104</v>
      </c>
      <c r="S313" s="158">
        <f t="shared" si="90"/>
        <v>8591.09</v>
      </c>
      <c r="T313" s="169" t="s">
        <v>395</v>
      </c>
    </row>
    <row r="314" spans="1:20" ht="28.5" customHeight="1">
      <c r="A314" s="156">
        <v>21202</v>
      </c>
      <c r="B314" s="157" t="s">
        <v>396</v>
      </c>
      <c r="C314" s="158">
        <v>30.91</v>
      </c>
      <c r="D314" s="158"/>
      <c r="E314" s="158">
        <f t="shared" si="83"/>
        <v>30.91</v>
      </c>
      <c r="F314" s="158">
        <v>0</v>
      </c>
      <c r="G314" s="158">
        <v>0</v>
      </c>
      <c r="H314" s="158">
        <v>0</v>
      </c>
      <c r="I314" s="158">
        <v>2.75</v>
      </c>
      <c r="J314" s="158">
        <f t="shared" si="86"/>
        <v>500</v>
      </c>
      <c r="K314" s="158">
        <v>33.66</v>
      </c>
      <c r="L314" s="158">
        <v>500</v>
      </c>
      <c r="M314" s="158">
        <f t="shared" si="84"/>
        <v>533.66</v>
      </c>
      <c r="N314" s="158">
        <f t="shared" si="85"/>
        <v>1626.4962795211904</v>
      </c>
      <c r="O314" s="158">
        <v>33.66</v>
      </c>
      <c r="P314" s="158">
        <v>18.55</v>
      </c>
      <c r="Q314" s="158">
        <v>15.11</v>
      </c>
      <c r="R314" s="158">
        <f t="shared" si="89"/>
        <v>500</v>
      </c>
      <c r="S314" s="158">
        <f t="shared" si="90"/>
        <v>533.66</v>
      </c>
      <c r="T314" s="169"/>
    </row>
    <row r="315" spans="1:20" ht="60.75" customHeight="1">
      <c r="A315" s="156">
        <v>2120201</v>
      </c>
      <c r="B315" s="157" t="s">
        <v>396</v>
      </c>
      <c r="C315" s="158">
        <v>30.91</v>
      </c>
      <c r="D315" s="158"/>
      <c r="E315" s="158">
        <f t="shared" si="83"/>
        <v>30.91</v>
      </c>
      <c r="F315" s="158">
        <v>0</v>
      </c>
      <c r="G315" s="158">
        <v>0</v>
      </c>
      <c r="H315" s="158">
        <v>0</v>
      </c>
      <c r="I315" s="158">
        <v>2.75</v>
      </c>
      <c r="J315" s="158">
        <f t="shared" si="86"/>
        <v>500</v>
      </c>
      <c r="K315" s="158">
        <v>33.66</v>
      </c>
      <c r="L315" s="158">
        <v>500</v>
      </c>
      <c r="M315" s="158">
        <f t="shared" si="84"/>
        <v>533.66</v>
      </c>
      <c r="N315" s="158">
        <f t="shared" si="85"/>
        <v>1626.4962795211904</v>
      </c>
      <c r="O315" s="158">
        <v>33.66</v>
      </c>
      <c r="P315" s="158">
        <v>18.55</v>
      </c>
      <c r="Q315" s="158">
        <v>15.11</v>
      </c>
      <c r="R315" s="158">
        <f t="shared" si="89"/>
        <v>500</v>
      </c>
      <c r="S315" s="158">
        <f t="shared" si="90"/>
        <v>533.66</v>
      </c>
      <c r="T315" s="169" t="s">
        <v>206</v>
      </c>
    </row>
    <row r="316" spans="1:20" ht="28.5" customHeight="1">
      <c r="A316" s="156">
        <v>21203</v>
      </c>
      <c r="B316" s="157" t="s">
        <v>397</v>
      </c>
      <c r="C316" s="158">
        <v>5</v>
      </c>
      <c r="D316" s="158">
        <v>61.47</v>
      </c>
      <c r="E316" s="158">
        <f t="shared" si="83"/>
        <v>66.47</v>
      </c>
      <c r="F316" s="158">
        <v>77.26</v>
      </c>
      <c r="G316" s="158">
        <v>0</v>
      </c>
      <c r="H316" s="158">
        <v>0</v>
      </c>
      <c r="I316" s="158">
        <v>0</v>
      </c>
      <c r="J316" s="158">
        <f t="shared" si="86"/>
        <v>19314</v>
      </c>
      <c r="K316" s="158">
        <v>82.26</v>
      </c>
      <c r="L316" s="158">
        <v>19375.47</v>
      </c>
      <c r="M316" s="158">
        <f t="shared" si="84"/>
        <v>19457.73</v>
      </c>
      <c r="N316" s="158">
        <f t="shared" si="85"/>
        <v>29172.95020309914</v>
      </c>
      <c r="O316" s="158">
        <v>82.26</v>
      </c>
      <c r="P316" s="158">
        <v>0.97</v>
      </c>
      <c r="Q316" s="158">
        <v>81.29</v>
      </c>
      <c r="R316" s="158">
        <f t="shared" si="89"/>
        <v>19375.47</v>
      </c>
      <c r="S316" s="158">
        <f t="shared" si="90"/>
        <v>19457.73</v>
      </c>
      <c r="T316" s="169"/>
    </row>
    <row r="317" spans="1:20" ht="45.75" customHeight="1">
      <c r="A317" s="156">
        <v>2120399</v>
      </c>
      <c r="B317" s="157" t="s">
        <v>398</v>
      </c>
      <c r="C317" s="158">
        <v>5</v>
      </c>
      <c r="D317" s="158">
        <v>61.47</v>
      </c>
      <c r="E317" s="158">
        <f t="shared" si="83"/>
        <v>66.47</v>
      </c>
      <c r="F317" s="158">
        <v>77.26</v>
      </c>
      <c r="G317" s="158">
        <v>0</v>
      </c>
      <c r="H317" s="158">
        <v>0</v>
      </c>
      <c r="I317" s="158">
        <v>0</v>
      </c>
      <c r="J317" s="158">
        <f t="shared" si="86"/>
        <v>19314</v>
      </c>
      <c r="K317" s="158">
        <v>82.26</v>
      </c>
      <c r="L317" s="158">
        <v>19375.47</v>
      </c>
      <c r="M317" s="158">
        <f t="shared" si="84"/>
        <v>19457.73</v>
      </c>
      <c r="N317" s="158">
        <f t="shared" si="85"/>
        <v>29172.95020309914</v>
      </c>
      <c r="O317" s="158">
        <v>82.26</v>
      </c>
      <c r="P317" s="158">
        <v>0.97</v>
      </c>
      <c r="Q317" s="158">
        <v>81.29</v>
      </c>
      <c r="R317" s="158">
        <f t="shared" si="89"/>
        <v>19375.47</v>
      </c>
      <c r="S317" s="158">
        <f t="shared" si="90"/>
        <v>19457.73</v>
      </c>
      <c r="T317" s="169" t="s">
        <v>399</v>
      </c>
    </row>
    <row r="318" spans="1:20" ht="28.5" customHeight="1">
      <c r="A318" s="156">
        <v>21205</v>
      </c>
      <c r="B318" s="157" t="s">
        <v>400</v>
      </c>
      <c r="C318" s="158">
        <v>423.23</v>
      </c>
      <c r="D318" s="158"/>
      <c r="E318" s="158">
        <f t="shared" si="83"/>
        <v>423.23</v>
      </c>
      <c r="F318" s="158">
        <v>80</v>
      </c>
      <c r="G318" s="158">
        <v>-9</v>
      </c>
      <c r="H318" s="158">
        <v>0</v>
      </c>
      <c r="I318" s="158">
        <v>23.22</v>
      </c>
      <c r="J318" s="158">
        <f t="shared" si="86"/>
        <v>0</v>
      </c>
      <c r="K318" s="158">
        <v>517.45</v>
      </c>
      <c r="L318" s="158"/>
      <c r="M318" s="158">
        <f t="shared" si="84"/>
        <v>517.45</v>
      </c>
      <c r="N318" s="158">
        <f t="shared" si="85"/>
        <v>22.26212697587602</v>
      </c>
      <c r="O318" s="158">
        <v>517.45</v>
      </c>
      <c r="P318" s="158">
        <v>211.88</v>
      </c>
      <c r="Q318" s="158">
        <v>305.57</v>
      </c>
      <c r="R318" s="158">
        <f t="shared" si="89"/>
        <v>0</v>
      </c>
      <c r="S318" s="158">
        <f t="shared" si="90"/>
        <v>517.45</v>
      </c>
      <c r="T318" s="169"/>
    </row>
    <row r="319" spans="1:20" ht="76.5" customHeight="1">
      <c r="A319" s="156">
        <v>2120501</v>
      </c>
      <c r="B319" s="157" t="s">
        <v>400</v>
      </c>
      <c r="C319" s="158">
        <v>423.23</v>
      </c>
      <c r="D319" s="158"/>
      <c r="E319" s="158">
        <f t="shared" si="83"/>
        <v>423.23</v>
      </c>
      <c r="F319" s="158">
        <v>80</v>
      </c>
      <c r="G319" s="158">
        <v>-9</v>
      </c>
      <c r="H319" s="158">
        <v>0</v>
      </c>
      <c r="I319" s="158">
        <v>23.22</v>
      </c>
      <c r="J319" s="158">
        <f t="shared" si="86"/>
        <v>0</v>
      </c>
      <c r="K319" s="158">
        <v>517.45</v>
      </c>
      <c r="L319" s="158"/>
      <c r="M319" s="158">
        <f t="shared" si="84"/>
        <v>517.45</v>
      </c>
      <c r="N319" s="158">
        <f t="shared" si="85"/>
        <v>22.26212697587602</v>
      </c>
      <c r="O319" s="158">
        <v>517.45</v>
      </c>
      <c r="P319" s="158">
        <v>211.88</v>
      </c>
      <c r="Q319" s="158">
        <v>305.57</v>
      </c>
      <c r="R319" s="158">
        <f t="shared" si="89"/>
        <v>0</v>
      </c>
      <c r="S319" s="158">
        <f t="shared" si="90"/>
        <v>517.45</v>
      </c>
      <c r="T319" s="169" t="s">
        <v>401</v>
      </c>
    </row>
    <row r="320" spans="1:20" ht="28.5" customHeight="1">
      <c r="A320" s="156">
        <v>21299</v>
      </c>
      <c r="B320" s="157" t="s">
        <v>402</v>
      </c>
      <c r="C320" s="158">
        <v>711.2</v>
      </c>
      <c r="D320" s="158">
        <v>1061</v>
      </c>
      <c r="E320" s="158">
        <f t="shared" si="83"/>
        <v>1772.2</v>
      </c>
      <c r="F320" s="158">
        <v>28.82</v>
      </c>
      <c r="G320" s="158">
        <v>0</v>
      </c>
      <c r="H320" s="158">
        <v>0</v>
      </c>
      <c r="I320" s="158">
        <v>0</v>
      </c>
      <c r="J320" s="158">
        <f t="shared" si="86"/>
        <v>-348</v>
      </c>
      <c r="K320" s="158">
        <v>740.02</v>
      </c>
      <c r="L320" s="158">
        <v>713</v>
      </c>
      <c r="M320" s="158">
        <f t="shared" si="84"/>
        <v>1453.02</v>
      </c>
      <c r="N320" s="158">
        <f t="shared" si="85"/>
        <v>-18.010382575330098</v>
      </c>
      <c r="O320" s="158">
        <v>740.02</v>
      </c>
      <c r="P320" s="158">
        <v>91.92</v>
      </c>
      <c r="Q320" s="158">
        <v>648.1</v>
      </c>
      <c r="R320" s="158">
        <f t="shared" si="89"/>
        <v>713</v>
      </c>
      <c r="S320" s="158">
        <f t="shared" si="90"/>
        <v>1453.02</v>
      </c>
      <c r="T320" s="169"/>
    </row>
    <row r="321" spans="1:20" ht="43.5" customHeight="1">
      <c r="A321" s="156">
        <v>2129999</v>
      </c>
      <c r="B321" s="157" t="s">
        <v>402</v>
      </c>
      <c r="C321" s="158">
        <v>711.2</v>
      </c>
      <c r="D321" s="158">
        <v>1061</v>
      </c>
      <c r="E321" s="158">
        <f t="shared" si="83"/>
        <v>1772.2</v>
      </c>
      <c r="F321" s="158">
        <v>28.82</v>
      </c>
      <c r="G321" s="158">
        <v>0</v>
      </c>
      <c r="H321" s="158">
        <v>0</v>
      </c>
      <c r="I321" s="158">
        <v>0</v>
      </c>
      <c r="J321" s="158">
        <f t="shared" si="86"/>
        <v>-348</v>
      </c>
      <c r="K321" s="158">
        <v>740.02</v>
      </c>
      <c r="L321" s="158">
        <v>713</v>
      </c>
      <c r="M321" s="158">
        <f t="shared" si="84"/>
        <v>1453.02</v>
      </c>
      <c r="N321" s="158">
        <f t="shared" si="85"/>
        <v>-18.010382575330098</v>
      </c>
      <c r="O321" s="158">
        <v>740.02</v>
      </c>
      <c r="P321" s="158">
        <v>91.92</v>
      </c>
      <c r="Q321" s="158">
        <v>648.1</v>
      </c>
      <c r="R321" s="158">
        <f t="shared" si="89"/>
        <v>713</v>
      </c>
      <c r="S321" s="158">
        <f t="shared" si="90"/>
        <v>1453.02</v>
      </c>
      <c r="T321" s="169" t="s">
        <v>403</v>
      </c>
    </row>
    <row r="322" spans="1:20" ht="28.5" customHeight="1">
      <c r="A322" s="156">
        <v>213</v>
      </c>
      <c r="B322" s="157" t="s">
        <v>404</v>
      </c>
      <c r="C322" s="158">
        <f aca="true" t="shared" si="91" ref="C322:I322">C323+C341+C349+C363+C365+C369+C372</f>
        <v>4634.64</v>
      </c>
      <c r="D322" s="158">
        <f t="shared" si="91"/>
        <v>6511.52</v>
      </c>
      <c r="E322" s="158">
        <f t="shared" si="83"/>
        <v>11146.16</v>
      </c>
      <c r="F322" s="158">
        <f t="shared" si="91"/>
        <v>-565.1100000000002</v>
      </c>
      <c r="G322" s="158">
        <f t="shared" si="91"/>
        <v>-33.4</v>
      </c>
      <c r="H322" s="158">
        <f t="shared" si="91"/>
        <v>0</v>
      </c>
      <c r="I322" s="158">
        <f t="shared" si="91"/>
        <v>191.94000000000003</v>
      </c>
      <c r="J322" s="158">
        <f t="shared" si="86"/>
        <v>8551.187349999998</v>
      </c>
      <c r="K322" s="158">
        <f aca="true" t="shared" si="92" ref="K322:S322">K323+K341+K349+K363+K365+K369+K372</f>
        <v>4228.070000000001</v>
      </c>
      <c r="L322" s="158">
        <v>15062.707349999999</v>
      </c>
      <c r="M322" s="158">
        <f t="shared" si="84"/>
        <v>19290.77735</v>
      </c>
      <c r="N322" s="158">
        <f t="shared" si="85"/>
        <v>73.07106079582566</v>
      </c>
      <c r="O322" s="158">
        <f t="shared" si="92"/>
        <v>4228.070000000001</v>
      </c>
      <c r="P322" s="158">
        <f t="shared" si="92"/>
        <v>1701.67</v>
      </c>
      <c r="Q322" s="158">
        <f t="shared" si="92"/>
        <v>2526.4</v>
      </c>
      <c r="R322" s="158">
        <f t="shared" si="92"/>
        <v>15062.707349999999</v>
      </c>
      <c r="S322" s="158">
        <f t="shared" si="92"/>
        <v>19290.777349999997</v>
      </c>
      <c r="T322" s="169"/>
    </row>
    <row r="323" spans="1:20" ht="28.5" customHeight="1">
      <c r="A323" s="156">
        <v>21301</v>
      </c>
      <c r="B323" s="157" t="s">
        <v>405</v>
      </c>
      <c r="C323" s="158">
        <v>992.49</v>
      </c>
      <c r="D323" s="158">
        <f>SUM(D324:D340)</f>
        <v>1752.1</v>
      </c>
      <c r="E323" s="158">
        <f t="shared" si="83"/>
        <v>2744.59</v>
      </c>
      <c r="F323" s="158">
        <v>-63.64</v>
      </c>
      <c r="G323" s="158">
        <v>0</v>
      </c>
      <c r="H323" s="158">
        <v>0</v>
      </c>
      <c r="I323" s="158">
        <v>119.48</v>
      </c>
      <c r="J323" s="158">
        <f t="shared" si="86"/>
        <v>512.7473500000001</v>
      </c>
      <c r="K323" s="158">
        <v>1048.33</v>
      </c>
      <c r="L323" s="158">
        <v>2264.84735</v>
      </c>
      <c r="M323" s="158">
        <f t="shared" si="84"/>
        <v>3313.17735</v>
      </c>
      <c r="N323" s="158">
        <f t="shared" si="85"/>
        <v>20.71665895452508</v>
      </c>
      <c r="O323" s="158">
        <v>1048.33</v>
      </c>
      <c r="P323" s="158">
        <v>570.09</v>
      </c>
      <c r="Q323" s="158">
        <v>478.24</v>
      </c>
      <c r="R323" s="158">
        <f aca="true" t="shared" si="93" ref="R323:R373">L323</f>
        <v>2264.84735</v>
      </c>
      <c r="S323" s="158">
        <f aca="true" t="shared" si="94" ref="S323:S373">M323</f>
        <v>3313.17735</v>
      </c>
      <c r="T323" s="169"/>
    </row>
    <row r="324" spans="1:20" ht="46.5" customHeight="1">
      <c r="A324" s="156">
        <v>2130101</v>
      </c>
      <c r="B324" s="157" t="s">
        <v>87</v>
      </c>
      <c r="C324" s="158">
        <v>212.23</v>
      </c>
      <c r="D324" s="158"/>
      <c r="E324" s="158">
        <f t="shared" si="83"/>
        <v>212.23</v>
      </c>
      <c r="F324" s="158">
        <v>28.06</v>
      </c>
      <c r="G324" s="158">
        <v>0</v>
      </c>
      <c r="H324" s="158">
        <v>0</v>
      </c>
      <c r="I324" s="158">
        <v>80.11</v>
      </c>
      <c r="J324" s="158">
        <f t="shared" si="86"/>
        <v>0</v>
      </c>
      <c r="K324" s="158">
        <v>320.4</v>
      </c>
      <c r="L324" s="158"/>
      <c r="M324" s="158">
        <f t="shared" si="84"/>
        <v>320.4</v>
      </c>
      <c r="N324" s="158">
        <f t="shared" si="85"/>
        <v>50.96828912029401</v>
      </c>
      <c r="O324" s="158">
        <v>320.4</v>
      </c>
      <c r="P324" s="158">
        <v>211.2</v>
      </c>
      <c r="Q324" s="158">
        <v>109.2</v>
      </c>
      <c r="R324" s="158">
        <f t="shared" si="93"/>
        <v>0</v>
      </c>
      <c r="S324" s="158">
        <f t="shared" si="94"/>
        <v>320.4</v>
      </c>
      <c r="T324" s="169" t="s">
        <v>88</v>
      </c>
    </row>
    <row r="325" spans="1:20" ht="28.5" customHeight="1">
      <c r="A325" s="156">
        <v>2130102</v>
      </c>
      <c r="B325" s="157" t="s">
        <v>89</v>
      </c>
      <c r="C325" s="158">
        <v>4</v>
      </c>
      <c r="D325" s="158"/>
      <c r="E325" s="158">
        <f t="shared" si="83"/>
        <v>4</v>
      </c>
      <c r="F325" s="158">
        <v>0</v>
      </c>
      <c r="G325" s="158">
        <v>0</v>
      </c>
      <c r="H325" s="158">
        <v>0</v>
      </c>
      <c r="I325" s="158">
        <v>0</v>
      </c>
      <c r="J325" s="158">
        <f t="shared" si="86"/>
        <v>0</v>
      </c>
      <c r="K325" s="158">
        <v>4</v>
      </c>
      <c r="L325" s="158"/>
      <c r="M325" s="158">
        <f t="shared" si="84"/>
        <v>4</v>
      </c>
      <c r="N325" s="158">
        <f t="shared" si="85"/>
        <v>0</v>
      </c>
      <c r="O325" s="158">
        <v>4</v>
      </c>
      <c r="P325" s="158">
        <v>3</v>
      </c>
      <c r="Q325" s="158">
        <v>1</v>
      </c>
      <c r="R325" s="158">
        <f t="shared" si="93"/>
        <v>0</v>
      </c>
      <c r="S325" s="158">
        <f t="shared" si="94"/>
        <v>4</v>
      </c>
      <c r="T325" s="169"/>
    </row>
    <row r="326" spans="1:20" ht="63" customHeight="1">
      <c r="A326" s="156">
        <v>2130104</v>
      </c>
      <c r="B326" s="157" t="s">
        <v>128</v>
      </c>
      <c r="C326" s="158">
        <v>141.37</v>
      </c>
      <c r="D326" s="158"/>
      <c r="E326" s="158">
        <f t="shared" si="83"/>
        <v>141.37</v>
      </c>
      <c r="F326" s="158">
        <v>-18.24</v>
      </c>
      <c r="G326" s="158">
        <v>0</v>
      </c>
      <c r="H326" s="158">
        <v>0</v>
      </c>
      <c r="I326" s="158">
        <v>22.37</v>
      </c>
      <c r="J326" s="158">
        <f t="shared" si="86"/>
        <v>0</v>
      </c>
      <c r="K326" s="158">
        <v>145.5</v>
      </c>
      <c r="L326" s="158"/>
      <c r="M326" s="158">
        <f t="shared" si="84"/>
        <v>145.5</v>
      </c>
      <c r="N326" s="158">
        <f t="shared" si="85"/>
        <v>2.921411897856685</v>
      </c>
      <c r="O326" s="158">
        <v>145.5</v>
      </c>
      <c r="P326" s="158">
        <v>98.01</v>
      </c>
      <c r="Q326" s="158">
        <v>47.49</v>
      </c>
      <c r="R326" s="158">
        <f t="shared" si="93"/>
        <v>0</v>
      </c>
      <c r="S326" s="158">
        <f t="shared" si="94"/>
        <v>145.5</v>
      </c>
      <c r="T326" s="169" t="s">
        <v>103</v>
      </c>
    </row>
    <row r="327" spans="1:20" ht="28.5" customHeight="1">
      <c r="A327" s="156">
        <v>2130106</v>
      </c>
      <c r="B327" s="157" t="s">
        <v>406</v>
      </c>
      <c r="C327" s="158">
        <v>29</v>
      </c>
      <c r="D327" s="158"/>
      <c r="E327" s="158">
        <f t="shared" si="83"/>
        <v>29</v>
      </c>
      <c r="F327" s="158">
        <v>0</v>
      </c>
      <c r="G327" s="158">
        <v>0</v>
      </c>
      <c r="H327" s="158">
        <v>0</v>
      </c>
      <c r="I327" s="158">
        <v>0</v>
      </c>
      <c r="J327" s="158">
        <f t="shared" si="86"/>
        <v>9</v>
      </c>
      <c r="K327" s="158">
        <v>29</v>
      </c>
      <c r="L327" s="158">
        <v>9</v>
      </c>
      <c r="M327" s="158">
        <f t="shared" si="84"/>
        <v>38</v>
      </c>
      <c r="N327" s="158">
        <f t="shared" si="85"/>
        <v>31.034482758620683</v>
      </c>
      <c r="O327" s="158">
        <v>29</v>
      </c>
      <c r="P327" s="158">
        <v>18</v>
      </c>
      <c r="Q327" s="158">
        <v>11</v>
      </c>
      <c r="R327" s="158">
        <f t="shared" si="93"/>
        <v>9</v>
      </c>
      <c r="S327" s="158">
        <f t="shared" si="94"/>
        <v>38</v>
      </c>
      <c r="T327" s="169" t="s">
        <v>137</v>
      </c>
    </row>
    <row r="328" spans="1:20" ht="28.5" customHeight="1">
      <c r="A328" s="156">
        <v>2130108</v>
      </c>
      <c r="B328" s="157" t="s">
        <v>407</v>
      </c>
      <c r="C328" s="158">
        <v>27.2</v>
      </c>
      <c r="D328" s="158">
        <v>9</v>
      </c>
      <c r="E328" s="158">
        <f t="shared" si="83"/>
        <v>36.2</v>
      </c>
      <c r="F328" s="158">
        <v>0</v>
      </c>
      <c r="G328" s="158">
        <v>0</v>
      </c>
      <c r="H328" s="158">
        <v>0</v>
      </c>
      <c r="I328" s="158">
        <v>0</v>
      </c>
      <c r="J328" s="158">
        <f t="shared" si="86"/>
        <v>-7.34</v>
      </c>
      <c r="K328" s="158">
        <v>27.2</v>
      </c>
      <c r="L328" s="158">
        <v>1.66</v>
      </c>
      <c r="M328" s="158">
        <f t="shared" si="84"/>
        <v>28.86</v>
      </c>
      <c r="N328" s="158">
        <f t="shared" si="85"/>
        <v>-20.276243093922663</v>
      </c>
      <c r="O328" s="158">
        <v>27.2</v>
      </c>
      <c r="P328" s="158">
        <v>18.6</v>
      </c>
      <c r="Q328" s="158">
        <v>8.6</v>
      </c>
      <c r="R328" s="158">
        <f t="shared" si="93"/>
        <v>1.66</v>
      </c>
      <c r="S328" s="158">
        <f t="shared" si="94"/>
        <v>28.86</v>
      </c>
      <c r="T328" s="169" t="s">
        <v>408</v>
      </c>
    </row>
    <row r="329" spans="1:20" ht="28.5" customHeight="1">
      <c r="A329" s="156">
        <v>2130109</v>
      </c>
      <c r="B329" s="157" t="s">
        <v>409</v>
      </c>
      <c r="C329" s="158">
        <v>20</v>
      </c>
      <c r="D329" s="158">
        <v>4</v>
      </c>
      <c r="E329" s="158">
        <f t="shared" si="83"/>
        <v>24</v>
      </c>
      <c r="F329" s="158">
        <v>0</v>
      </c>
      <c r="G329" s="158">
        <v>0</v>
      </c>
      <c r="H329" s="158">
        <v>0</v>
      </c>
      <c r="I329" s="158">
        <v>0</v>
      </c>
      <c r="J329" s="158">
        <f t="shared" si="86"/>
        <v>0</v>
      </c>
      <c r="K329" s="158">
        <v>20</v>
      </c>
      <c r="L329" s="158">
        <v>4</v>
      </c>
      <c r="M329" s="158">
        <f t="shared" si="84"/>
        <v>24</v>
      </c>
      <c r="N329" s="158">
        <f t="shared" si="85"/>
        <v>0</v>
      </c>
      <c r="O329" s="158">
        <v>20</v>
      </c>
      <c r="P329" s="158">
        <v>14</v>
      </c>
      <c r="Q329" s="158">
        <v>6</v>
      </c>
      <c r="R329" s="158">
        <f t="shared" si="93"/>
        <v>4</v>
      </c>
      <c r="S329" s="158">
        <f t="shared" si="94"/>
        <v>24</v>
      </c>
      <c r="T329" s="169"/>
    </row>
    <row r="330" spans="1:20" ht="39" customHeight="1">
      <c r="A330" s="156">
        <v>2130110</v>
      </c>
      <c r="B330" s="157" t="s">
        <v>410</v>
      </c>
      <c r="C330" s="158">
        <v>129</v>
      </c>
      <c r="D330" s="158"/>
      <c r="E330" s="158">
        <f t="shared" si="83"/>
        <v>129</v>
      </c>
      <c r="F330" s="158">
        <v>-22.13</v>
      </c>
      <c r="G330" s="158">
        <v>0</v>
      </c>
      <c r="H330" s="158">
        <v>0</v>
      </c>
      <c r="I330" s="158">
        <v>0</v>
      </c>
      <c r="J330" s="158">
        <f t="shared" si="86"/>
        <v>0</v>
      </c>
      <c r="K330" s="158">
        <v>106.87</v>
      </c>
      <c r="L330" s="158"/>
      <c r="M330" s="158">
        <f t="shared" si="84"/>
        <v>106.87</v>
      </c>
      <c r="N330" s="158">
        <f t="shared" si="85"/>
        <v>-17.155038759689923</v>
      </c>
      <c r="O330" s="158">
        <v>106.87</v>
      </c>
      <c r="P330" s="158">
        <v>60.89</v>
      </c>
      <c r="Q330" s="158">
        <v>45.98</v>
      </c>
      <c r="R330" s="158">
        <f t="shared" si="93"/>
        <v>0</v>
      </c>
      <c r="S330" s="158">
        <f t="shared" si="94"/>
        <v>106.87</v>
      </c>
      <c r="T330" s="169" t="s">
        <v>411</v>
      </c>
    </row>
    <row r="331" spans="1:20" ht="28.5" customHeight="1">
      <c r="A331" s="156">
        <v>2130111</v>
      </c>
      <c r="B331" s="157" t="s">
        <v>412</v>
      </c>
      <c r="C331" s="158">
        <v>1</v>
      </c>
      <c r="D331" s="158"/>
      <c r="E331" s="158">
        <f t="shared" si="83"/>
        <v>1</v>
      </c>
      <c r="F331" s="158">
        <v>0</v>
      </c>
      <c r="G331" s="158">
        <v>0</v>
      </c>
      <c r="H331" s="158">
        <v>0</v>
      </c>
      <c r="I331" s="158">
        <v>0</v>
      </c>
      <c r="J331" s="158">
        <f t="shared" si="86"/>
        <v>0</v>
      </c>
      <c r="K331" s="158">
        <v>1</v>
      </c>
      <c r="L331" s="158"/>
      <c r="M331" s="158">
        <f t="shared" si="84"/>
        <v>1</v>
      </c>
      <c r="N331" s="158">
        <f t="shared" si="85"/>
        <v>0</v>
      </c>
      <c r="O331" s="158">
        <v>1</v>
      </c>
      <c r="P331" s="158">
        <v>1</v>
      </c>
      <c r="Q331" s="158">
        <v>0</v>
      </c>
      <c r="R331" s="158">
        <f t="shared" si="93"/>
        <v>0</v>
      </c>
      <c r="S331" s="158">
        <f t="shared" si="94"/>
        <v>1</v>
      </c>
      <c r="T331" s="169"/>
    </row>
    <row r="332" spans="1:20" ht="28.5" customHeight="1">
      <c r="A332" s="156">
        <v>2130112</v>
      </c>
      <c r="B332" s="157" t="s">
        <v>413</v>
      </c>
      <c r="C332" s="158">
        <v>17</v>
      </c>
      <c r="D332" s="158"/>
      <c r="E332" s="158">
        <f t="shared" si="83"/>
        <v>17</v>
      </c>
      <c r="F332" s="158">
        <v>0</v>
      </c>
      <c r="G332" s="158">
        <v>0</v>
      </c>
      <c r="H332" s="158">
        <v>0</v>
      </c>
      <c r="I332" s="158">
        <v>0</v>
      </c>
      <c r="J332" s="158">
        <f t="shared" si="86"/>
        <v>2.1013</v>
      </c>
      <c r="K332" s="158">
        <v>17</v>
      </c>
      <c r="L332" s="158">
        <v>2.1013</v>
      </c>
      <c r="M332" s="158">
        <f t="shared" si="84"/>
        <v>19.101300000000002</v>
      </c>
      <c r="N332" s="158">
        <f t="shared" si="85"/>
        <v>12.360588235294134</v>
      </c>
      <c r="O332" s="158">
        <v>17</v>
      </c>
      <c r="P332" s="158">
        <v>5</v>
      </c>
      <c r="Q332" s="158">
        <v>12</v>
      </c>
      <c r="R332" s="158">
        <f t="shared" si="93"/>
        <v>2.1013</v>
      </c>
      <c r="S332" s="158">
        <f t="shared" si="94"/>
        <v>19.101300000000002</v>
      </c>
      <c r="T332" s="169" t="s">
        <v>137</v>
      </c>
    </row>
    <row r="333" spans="1:20" ht="33.75" customHeight="1">
      <c r="A333" s="156">
        <v>2130119</v>
      </c>
      <c r="B333" s="157" t="s">
        <v>414</v>
      </c>
      <c r="C333" s="158">
        <v>0</v>
      </c>
      <c r="D333" s="158"/>
      <c r="E333" s="158">
        <f t="shared" si="83"/>
        <v>0</v>
      </c>
      <c r="F333" s="158">
        <v>0</v>
      </c>
      <c r="G333" s="158">
        <v>0</v>
      </c>
      <c r="H333" s="158">
        <v>0</v>
      </c>
      <c r="I333" s="158">
        <v>6</v>
      </c>
      <c r="J333" s="158">
        <f t="shared" si="86"/>
        <v>0</v>
      </c>
      <c r="K333" s="158">
        <v>6</v>
      </c>
      <c r="L333" s="158"/>
      <c r="M333" s="158">
        <f t="shared" si="84"/>
        <v>6</v>
      </c>
      <c r="N333" s="158">
        <v>100</v>
      </c>
      <c r="O333" s="158">
        <v>6</v>
      </c>
      <c r="P333" s="158">
        <v>6</v>
      </c>
      <c r="Q333" s="158">
        <v>0</v>
      </c>
      <c r="R333" s="158">
        <f t="shared" si="93"/>
        <v>0</v>
      </c>
      <c r="S333" s="158">
        <f t="shared" si="94"/>
        <v>6</v>
      </c>
      <c r="T333" s="169" t="s">
        <v>415</v>
      </c>
    </row>
    <row r="334" spans="1:20" ht="45.75" customHeight="1">
      <c r="A334" s="156">
        <v>2130122</v>
      </c>
      <c r="B334" s="157" t="s">
        <v>416</v>
      </c>
      <c r="C334" s="158">
        <v>23.85</v>
      </c>
      <c r="D334" s="158">
        <v>22</v>
      </c>
      <c r="E334" s="158">
        <f t="shared" si="83"/>
        <v>45.85</v>
      </c>
      <c r="F334" s="158">
        <v>-2</v>
      </c>
      <c r="G334" s="158">
        <v>0</v>
      </c>
      <c r="H334" s="158">
        <v>0</v>
      </c>
      <c r="I334" s="158">
        <v>0</v>
      </c>
      <c r="J334" s="158">
        <f t="shared" si="86"/>
        <v>0</v>
      </c>
      <c r="K334" s="158">
        <v>21.85</v>
      </c>
      <c r="L334" s="158">
        <v>22</v>
      </c>
      <c r="M334" s="158">
        <f t="shared" si="84"/>
        <v>43.85</v>
      </c>
      <c r="N334" s="158">
        <f aca="true" t="shared" si="95" ref="N334:N342">(M334/E334-1)*100</f>
        <v>-4.36205016357688</v>
      </c>
      <c r="O334" s="158">
        <v>21.85</v>
      </c>
      <c r="P334" s="158">
        <v>2.72</v>
      </c>
      <c r="Q334" s="158">
        <v>19.13</v>
      </c>
      <c r="R334" s="158">
        <f t="shared" si="93"/>
        <v>22</v>
      </c>
      <c r="S334" s="158">
        <f t="shared" si="94"/>
        <v>43.85</v>
      </c>
      <c r="T334" s="169" t="s">
        <v>417</v>
      </c>
    </row>
    <row r="335" spans="1:20" ht="28.5" customHeight="1">
      <c r="A335" s="156">
        <v>2130124</v>
      </c>
      <c r="B335" s="157" t="s">
        <v>418</v>
      </c>
      <c r="C335" s="158"/>
      <c r="D335" s="158"/>
      <c r="E335" s="158"/>
      <c r="F335" s="158"/>
      <c r="G335" s="158"/>
      <c r="H335" s="158"/>
      <c r="I335" s="158"/>
      <c r="J335" s="158">
        <f t="shared" si="86"/>
        <v>50</v>
      </c>
      <c r="K335" s="158"/>
      <c r="L335" s="158">
        <v>50</v>
      </c>
      <c r="M335" s="158">
        <f>L335+K335</f>
        <v>50</v>
      </c>
      <c r="N335" s="158">
        <v>100</v>
      </c>
      <c r="O335" s="158"/>
      <c r="P335" s="158"/>
      <c r="Q335" s="158"/>
      <c r="R335" s="158">
        <f t="shared" si="93"/>
        <v>50</v>
      </c>
      <c r="S335" s="158">
        <f t="shared" si="94"/>
        <v>50</v>
      </c>
      <c r="T335" s="169" t="s">
        <v>137</v>
      </c>
    </row>
    <row r="336" spans="1:20" ht="28.5" customHeight="1">
      <c r="A336" s="156">
        <v>2130126</v>
      </c>
      <c r="B336" s="157" t="s">
        <v>419</v>
      </c>
      <c r="C336" s="158">
        <v>20</v>
      </c>
      <c r="D336" s="158"/>
      <c r="E336" s="158">
        <f aca="true" t="shared" si="96" ref="E336:E342">C336+D336</f>
        <v>20</v>
      </c>
      <c r="F336" s="158">
        <v>0</v>
      </c>
      <c r="G336" s="158">
        <v>0</v>
      </c>
      <c r="H336" s="158">
        <v>0</v>
      </c>
      <c r="I336" s="158">
        <v>0</v>
      </c>
      <c r="J336" s="158">
        <f t="shared" si="86"/>
        <v>0</v>
      </c>
      <c r="K336" s="158">
        <v>20</v>
      </c>
      <c r="L336" s="158"/>
      <c r="M336" s="158">
        <f aca="true" t="shared" si="97" ref="M336:M342">K336+L336</f>
        <v>20</v>
      </c>
      <c r="N336" s="158">
        <f t="shared" si="95"/>
        <v>0</v>
      </c>
      <c r="O336" s="158">
        <v>20</v>
      </c>
      <c r="P336" s="158">
        <v>0</v>
      </c>
      <c r="Q336" s="158">
        <v>20</v>
      </c>
      <c r="R336" s="158">
        <f t="shared" si="93"/>
        <v>0</v>
      </c>
      <c r="S336" s="158">
        <f t="shared" si="94"/>
        <v>20</v>
      </c>
      <c r="T336" s="169"/>
    </row>
    <row r="337" spans="1:20" ht="43.5" customHeight="1">
      <c r="A337" s="156">
        <v>2130135</v>
      </c>
      <c r="B337" s="157" t="s">
        <v>420</v>
      </c>
      <c r="C337" s="158">
        <v>5</v>
      </c>
      <c r="D337" s="158">
        <v>12</v>
      </c>
      <c r="E337" s="158">
        <f t="shared" si="96"/>
        <v>17</v>
      </c>
      <c r="F337" s="158">
        <v>0</v>
      </c>
      <c r="G337" s="158">
        <v>0</v>
      </c>
      <c r="H337" s="158">
        <v>0</v>
      </c>
      <c r="I337" s="158">
        <v>11</v>
      </c>
      <c r="J337" s="158">
        <f t="shared" si="86"/>
        <v>0</v>
      </c>
      <c r="K337" s="158">
        <v>16</v>
      </c>
      <c r="L337" s="158">
        <v>12</v>
      </c>
      <c r="M337" s="158">
        <f t="shared" si="97"/>
        <v>28</v>
      </c>
      <c r="N337" s="158">
        <f t="shared" si="95"/>
        <v>64.70588235294117</v>
      </c>
      <c r="O337" s="158">
        <v>16</v>
      </c>
      <c r="P337" s="158">
        <v>16</v>
      </c>
      <c r="Q337" s="158">
        <v>0</v>
      </c>
      <c r="R337" s="158">
        <f t="shared" si="93"/>
        <v>12</v>
      </c>
      <c r="S337" s="158">
        <f t="shared" si="94"/>
        <v>28</v>
      </c>
      <c r="T337" s="169" t="s">
        <v>421</v>
      </c>
    </row>
    <row r="338" spans="1:20" ht="36.75" customHeight="1">
      <c r="A338" s="170">
        <v>2130148</v>
      </c>
      <c r="B338" s="157" t="s">
        <v>422</v>
      </c>
      <c r="C338" s="158"/>
      <c r="D338" s="158">
        <v>1683.1</v>
      </c>
      <c r="E338" s="158">
        <f t="shared" si="96"/>
        <v>1683.1</v>
      </c>
      <c r="F338" s="158"/>
      <c r="G338" s="158"/>
      <c r="H338" s="158"/>
      <c r="I338" s="158"/>
      <c r="J338" s="158">
        <f t="shared" si="86"/>
        <v>239</v>
      </c>
      <c r="K338" s="158"/>
      <c r="L338" s="158">
        <v>1922.1</v>
      </c>
      <c r="M338" s="158">
        <f>L338+K338</f>
        <v>1922.1</v>
      </c>
      <c r="N338" s="158">
        <f t="shared" si="95"/>
        <v>14.199988117164764</v>
      </c>
      <c r="O338" s="158"/>
      <c r="P338" s="158"/>
      <c r="Q338" s="158"/>
      <c r="R338" s="158">
        <f t="shared" si="93"/>
        <v>1922.1</v>
      </c>
      <c r="S338" s="158">
        <f t="shared" si="94"/>
        <v>1922.1</v>
      </c>
      <c r="T338" s="169" t="s">
        <v>137</v>
      </c>
    </row>
    <row r="339" spans="1:20" ht="36.75" customHeight="1">
      <c r="A339" s="156">
        <v>2130152</v>
      </c>
      <c r="B339" s="157" t="s">
        <v>423</v>
      </c>
      <c r="C339" s="158">
        <v>127.44</v>
      </c>
      <c r="D339" s="158">
        <v>11</v>
      </c>
      <c r="E339" s="158">
        <f t="shared" si="96"/>
        <v>138.44</v>
      </c>
      <c r="F339" s="158">
        <v>0</v>
      </c>
      <c r="G339" s="158">
        <v>0</v>
      </c>
      <c r="H339" s="158">
        <v>0</v>
      </c>
      <c r="I339" s="158">
        <v>0</v>
      </c>
      <c r="J339" s="158">
        <f t="shared" si="86"/>
        <v>2.74775</v>
      </c>
      <c r="K339" s="158">
        <v>127.44</v>
      </c>
      <c r="L339" s="158">
        <v>13.74775</v>
      </c>
      <c r="M339" s="158">
        <f t="shared" si="97"/>
        <v>141.18775</v>
      </c>
      <c r="N339" s="158">
        <f t="shared" si="95"/>
        <v>1.9847948569777563</v>
      </c>
      <c r="O339" s="158">
        <v>127.44</v>
      </c>
      <c r="P339" s="158">
        <v>13.98</v>
      </c>
      <c r="Q339" s="158">
        <v>113.46</v>
      </c>
      <c r="R339" s="158">
        <f t="shared" si="93"/>
        <v>13.74775</v>
      </c>
      <c r="S339" s="158">
        <f t="shared" si="94"/>
        <v>141.18775</v>
      </c>
      <c r="T339" s="169" t="s">
        <v>137</v>
      </c>
    </row>
    <row r="340" spans="1:20" ht="45" customHeight="1">
      <c r="A340" s="156">
        <v>2130199</v>
      </c>
      <c r="B340" s="157" t="s">
        <v>424</v>
      </c>
      <c r="C340" s="158">
        <v>235.4</v>
      </c>
      <c r="D340" s="158">
        <v>11</v>
      </c>
      <c r="E340" s="158">
        <f t="shared" si="96"/>
        <v>246.4</v>
      </c>
      <c r="F340" s="158">
        <v>-49.33</v>
      </c>
      <c r="G340" s="158">
        <v>0</v>
      </c>
      <c r="H340" s="158">
        <v>0</v>
      </c>
      <c r="I340" s="158">
        <v>0</v>
      </c>
      <c r="J340" s="158">
        <f t="shared" si="86"/>
        <v>217.2383</v>
      </c>
      <c r="K340" s="158">
        <v>186.07</v>
      </c>
      <c r="L340" s="158">
        <v>228.2383</v>
      </c>
      <c r="M340" s="158">
        <f t="shared" si="97"/>
        <v>414.30830000000003</v>
      </c>
      <c r="N340" s="158">
        <f t="shared" si="95"/>
        <v>68.14460227272727</v>
      </c>
      <c r="O340" s="158">
        <v>186.07</v>
      </c>
      <c r="P340" s="158">
        <v>101.69</v>
      </c>
      <c r="Q340" s="158">
        <v>84.38</v>
      </c>
      <c r="R340" s="158">
        <f t="shared" si="93"/>
        <v>228.2383</v>
      </c>
      <c r="S340" s="158">
        <f t="shared" si="94"/>
        <v>414.30830000000003</v>
      </c>
      <c r="T340" s="169" t="s">
        <v>425</v>
      </c>
    </row>
    <row r="341" spans="1:20" ht="28.5" customHeight="1">
      <c r="A341" s="156">
        <v>21302</v>
      </c>
      <c r="B341" s="157" t="s">
        <v>426</v>
      </c>
      <c r="C341" s="158">
        <v>73.2</v>
      </c>
      <c r="D341" s="158">
        <v>15.5</v>
      </c>
      <c r="E341" s="158">
        <f t="shared" si="96"/>
        <v>88.7</v>
      </c>
      <c r="F341" s="158">
        <v>0</v>
      </c>
      <c r="G341" s="158">
        <v>0</v>
      </c>
      <c r="H341" s="158">
        <v>0</v>
      </c>
      <c r="I341" s="158">
        <v>-17</v>
      </c>
      <c r="J341" s="158">
        <f t="shared" si="86"/>
        <v>466.4</v>
      </c>
      <c r="K341" s="158">
        <v>56.2</v>
      </c>
      <c r="L341" s="158">
        <v>481.9</v>
      </c>
      <c r="M341" s="158">
        <f t="shared" si="97"/>
        <v>538.1</v>
      </c>
      <c r="N341" s="158">
        <f t="shared" si="95"/>
        <v>506.65163472378805</v>
      </c>
      <c r="O341" s="158">
        <v>56.2</v>
      </c>
      <c r="P341" s="158">
        <v>25</v>
      </c>
      <c r="Q341" s="158">
        <v>31.2</v>
      </c>
      <c r="R341" s="158">
        <f t="shared" si="93"/>
        <v>481.9</v>
      </c>
      <c r="S341" s="158">
        <f t="shared" si="94"/>
        <v>538.1</v>
      </c>
      <c r="T341" s="169"/>
    </row>
    <row r="342" spans="1:20" ht="28.5" customHeight="1">
      <c r="A342" s="156">
        <v>2130205</v>
      </c>
      <c r="B342" s="157" t="s">
        <v>427</v>
      </c>
      <c r="C342" s="158">
        <v>14.2</v>
      </c>
      <c r="D342" s="158"/>
      <c r="E342" s="158">
        <f t="shared" si="96"/>
        <v>14.2</v>
      </c>
      <c r="F342" s="158">
        <v>0</v>
      </c>
      <c r="G342" s="158">
        <v>0</v>
      </c>
      <c r="H342" s="158">
        <v>0</v>
      </c>
      <c r="I342" s="158">
        <v>0</v>
      </c>
      <c r="J342" s="158">
        <f t="shared" si="86"/>
        <v>136.85</v>
      </c>
      <c r="K342" s="158">
        <v>14.2</v>
      </c>
      <c r="L342" s="158">
        <v>136.85</v>
      </c>
      <c r="M342" s="158">
        <f t="shared" si="97"/>
        <v>151.04999999999998</v>
      </c>
      <c r="N342" s="158">
        <f t="shared" si="95"/>
        <v>963.7323943661972</v>
      </c>
      <c r="O342" s="158">
        <v>14.2</v>
      </c>
      <c r="P342" s="158">
        <v>0</v>
      </c>
      <c r="Q342" s="158">
        <v>14.2</v>
      </c>
      <c r="R342" s="158">
        <f t="shared" si="93"/>
        <v>136.85</v>
      </c>
      <c r="S342" s="158">
        <f t="shared" si="94"/>
        <v>151.04999999999998</v>
      </c>
      <c r="T342" s="169" t="s">
        <v>137</v>
      </c>
    </row>
    <row r="343" spans="1:20" ht="28.5" customHeight="1">
      <c r="A343" s="156">
        <v>2130209</v>
      </c>
      <c r="B343" s="157" t="s">
        <v>428</v>
      </c>
      <c r="C343" s="158"/>
      <c r="D343" s="158"/>
      <c r="E343" s="158"/>
      <c r="F343" s="158"/>
      <c r="G343" s="158"/>
      <c r="H343" s="158"/>
      <c r="I343" s="158"/>
      <c r="J343" s="158">
        <f t="shared" si="86"/>
        <v>191.85</v>
      </c>
      <c r="K343" s="158"/>
      <c r="L343" s="158">
        <v>191.85</v>
      </c>
      <c r="M343" s="158">
        <f>L343+K343</f>
        <v>191.85</v>
      </c>
      <c r="N343" s="158">
        <v>100</v>
      </c>
      <c r="O343" s="158"/>
      <c r="P343" s="158"/>
      <c r="Q343" s="158"/>
      <c r="R343" s="158">
        <f t="shared" si="93"/>
        <v>191.85</v>
      </c>
      <c r="S343" s="158">
        <f t="shared" si="94"/>
        <v>191.85</v>
      </c>
      <c r="T343" s="169" t="s">
        <v>137</v>
      </c>
    </row>
    <row r="344" spans="1:20" ht="28.5" customHeight="1">
      <c r="A344" s="156">
        <v>2130211</v>
      </c>
      <c r="B344" s="157" t="s">
        <v>429</v>
      </c>
      <c r="C344" s="158">
        <v>2</v>
      </c>
      <c r="D344" s="158"/>
      <c r="E344" s="158">
        <f aca="true" t="shared" si="98" ref="E344:E382">C344+D344</f>
        <v>2</v>
      </c>
      <c r="F344" s="158">
        <v>0</v>
      </c>
      <c r="G344" s="158">
        <v>0</v>
      </c>
      <c r="H344" s="158">
        <v>0</v>
      </c>
      <c r="I344" s="158">
        <v>0</v>
      </c>
      <c r="J344" s="158">
        <f t="shared" si="86"/>
        <v>0</v>
      </c>
      <c r="K344" s="158">
        <v>2</v>
      </c>
      <c r="L344" s="158"/>
      <c r="M344" s="158">
        <f aca="true" t="shared" si="99" ref="M344:M347">K344+L344</f>
        <v>2</v>
      </c>
      <c r="N344" s="158">
        <f aca="true" t="shared" si="100" ref="N344:N370">(M344/E344-1)*100</f>
        <v>0</v>
      </c>
      <c r="O344" s="158">
        <v>2</v>
      </c>
      <c r="P344" s="158">
        <v>2</v>
      </c>
      <c r="Q344" s="158">
        <v>0</v>
      </c>
      <c r="R344" s="158">
        <f t="shared" si="93"/>
        <v>0</v>
      </c>
      <c r="S344" s="158">
        <f t="shared" si="94"/>
        <v>2</v>
      </c>
      <c r="T344" s="169"/>
    </row>
    <row r="345" spans="1:20" ht="28.5" customHeight="1">
      <c r="A345" s="156">
        <v>2130212</v>
      </c>
      <c r="B345" s="157" t="s">
        <v>430</v>
      </c>
      <c r="C345" s="158">
        <v>2</v>
      </c>
      <c r="D345" s="158"/>
      <c r="E345" s="158">
        <f t="shared" si="98"/>
        <v>2</v>
      </c>
      <c r="F345" s="158">
        <v>0</v>
      </c>
      <c r="G345" s="158">
        <v>0</v>
      </c>
      <c r="H345" s="158">
        <v>0</v>
      </c>
      <c r="I345" s="158">
        <v>0</v>
      </c>
      <c r="J345" s="158">
        <f t="shared" si="86"/>
        <v>0</v>
      </c>
      <c r="K345" s="158">
        <v>2</v>
      </c>
      <c r="L345" s="158"/>
      <c r="M345" s="158">
        <f t="shared" si="99"/>
        <v>2</v>
      </c>
      <c r="N345" s="158">
        <f t="shared" si="100"/>
        <v>0</v>
      </c>
      <c r="O345" s="158">
        <v>2</v>
      </c>
      <c r="P345" s="158">
        <v>1</v>
      </c>
      <c r="Q345" s="158">
        <v>1</v>
      </c>
      <c r="R345" s="158">
        <f t="shared" si="93"/>
        <v>0</v>
      </c>
      <c r="S345" s="158">
        <f t="shared" si="94"/>
        <v>2</v>
      </c>
      <c r="T345" s="169"/>
    </row>
    <row r="346" spans="1:20" ht="28.5" customHeight="1">
      <c r="A346" s="156">
        <v>2130213</v>
      </c>
      <c r="B346" s="157" t="s">
        <v>431</v>
      </c>
      <c r="C346" s="158">
        <v>2</v>
      </c>
      <c r="D346" s="158"/>
      <c r="E346" s="158">
        <f t="shared" si="98"/>
        <v>2</v>
      </c>
      <c r="F346" s="158">
        <v>0</v>
      </c>
      <c r="G346" s="158">
        <v>0</v>
      </c>
      <c r="H346" s="158">
        <v>0</v>
      </c>
      <c r="I346" s="158">
        <v>0</v>
      </c>
      <c r="J346" s="158">
        <f t="shared" si="86"/>
        <v>0</v>
      </c>
      <c r="K346" s="158">
        <v>2</v>
      </c>
      <c r="L346" s="158"/>
      <c r="M346" s="158">
        <f t="shared" si="99"/>
        <v>2</v>
      </c>
      <c r="N346" s="158">
        <f t="shared" si="100"/>
        <v>0</v>
      </c>
      <c r="O346" s="158">
        <v>2</v>
      </c>
      <c r="P346" s="158">
        <v>0</v>
      </c>
      <c r="Q346" s="158">
        <v>2</v>
      </c>
      <c r="R346" s="158">
        <f t="shared" si="93"/>
        <v>0</v>
      </c>
      <c r="S346" s="158">
        <f t="shared" si="94"/>
        <v>2</v>
      </c>
      <c r="T346" s="169"/>
    </row>
    <row r="347" spans="1:20" ht="54.75" customHeight="1">
      <c r="A347" s="156">
        <v>2130234</v>
      </c>
      <c r="B347" s="157" t="s">
        <v>432</v>
      </c>
      <c r="C347" s="158">
        <v>53</v>
      </c>
      <c r="D347" s="158"/>
      <c r="E347" s="158">
        <f t="shared" si="98"/>
        <v>53</v>
      </c>
      <c r="F347" s="158">
        <v>0</v>
      </c>
      <c r="G347" s="158">
        <v>0</v>
      </c>
      <c r="H347" s="158">
        <v>0</v>
      </c>
      <c r="I347" s="158">
        <v>-17</v>
      </c>
      <c r="J347" s="158">
        <f t="shared" si="86"/>
        <v>68</v>
      </c>
      <c r="K347" s="158">
        <v>36</v>
      </c>
      <c r="L347" s="158">
        <v>68</v>
      </c>
      <c r="M347" s="158">
        <f t="shared" si="99"/>
        <v>104</v>
      </c>
      <c r="N347" s="158">
        <f t="shared" si="100"/>
        <v>96.22641509433963</v>
      </c>
      <c r="O347" s="158">
        <v>36</v>
      </c>
      <c r="P347" s="158">
        <v>22</v>
      </c>
      <c r="Q347" s="158">
        <v>14</v>
      </c>
      <c r="R347" s="158">
        <f t="shared" si="93"/>
        <v>68</v>
      </c>
      <c r="S347" s="158">
        <f t="shared" si="94"/>
        <v>104</v>
      </c>
      <c r="T347" s="169" t="s">
        <v>433</v>
      </c>
    </row>
    <row r="348" spans="1:20" ht="28.5" customHeight="1">
      <c r="A348" s="156">
        <v>2130299</v>
      </c>
      <c r="B348" s="157" t="s">
        <v>434</v>
      </c>
      <c r="C348" s="158"/>
      <c r="D348" s="158">
        <v>15.5</v>
      </c>
      <c r="E348" s="158">
        <f t="shared" si="98"/>
        <v>15.5</v>
      </c>
      <c r="F348" s="158"/>
      <c r="G348" s="158"/>
      <c r="H348" s="158"/>
      <c r="I348" s="158"/>
      <c r="J348" s="158">
        <f t="shared" si="86"/>
        <v>69.7</v>
      </c>
      <c r="K348" s="158"/>
      <c r="L348" s="158">
        <v>85.2</v>
      </c>
      <c r="M348" s="158">
        <f>L348+K348</f>
        <v>85.2</v>
      </c>
      <c r="N348" s="158">
        <f t="shared" si="100"/>
        <v>449.6774193548387</v>
      </c>
      <c r="O348" s="158"/>
      <c r="P348" s="158"/>
      <c r="Q348" s="158"/>
      <c r="R348" s="158">
        <f t="shared" si="93"/>
        <v>85.2</v>
      </c>
      <c r="S348" s="158">
        <f t="shared" si="94"/>
        <v>85.2</v>
      </c>
      <c r="T348" s="169" t="s">
        <v>137</v>
      </c>
    </row>
    <row r="349" spans="1:20" ht="28.5" customHeight="1">
      <c r="A349" s="156">
        <v>21303</v>
      </c>
      <c r="B349" s="157" t="s">
        <v>435</v>
      </c>
      <c r="C349" s="158">
        <v>2874.7</v>
      </c>
      <c r="D349" s="158">
        <f>SUM(D350:D362)</f>
        <v>340.54</v>
      </c>
      <c r="E349" s="158">
        <f t="shared" si="98"/>
        <v>3215.24</v>
      </c>
      <c r="F349" s="158">
        <v>-1050.96</v>
      </c>
      <c r="G349" s="158">
        <v>-33.4</v>
      </c>
      <c r="H349" s="158">
        <v>0</v>
      </c>
      <c r="I349" s="158">
        <v>71.86</v>
      </c>
      <c r="J349" s="158">
        <f t="shared" si="86"/>
        <v>6248.87</v>
      </c>
      <c r="K349" s="158">
        <v>1862.2</v>
      </c>
      <c r="L349" s="158">
        <v>6589.41</v>
      </c>
      <c r="M349" s="158">
        <f aca="true" t="shared" si="101" ref="M349:M360">K349+L349</f>
        <v>8451.61</v>
      </c>
      <c r="N349" s="158">
        <f t="shared" si="100"/>
        <v>162.86093728617465</v>
      </c>
      <c r="O349" s="158">
        <v>1862.2</v>
      </c>
      <c r="P349" s="158">
        <v>619.45</v>
      </c>
      <c r="Q349" s="158">
        <v>1242.75</v>
      </c>
      <c r="R349" s="158">
        <f t="shared" si="93"/>
        <v>6589.41</v>
      </c>
      <c r="S349" s="158">
        <f t="shared" si="94"/>
        <v>8451.61</v>
      </c>
      <c r="T349" s="169"/>
    </row>
    <row r="350" spans="1:20" ht="57.75" customHeight="1">
      <c r="A350" s="156">
        <v>2130301</v>
      </c>
      <c r="B350" s="157" t="s">
        <v>87</v>
      </c>
      <c r="C350" s="158">
        <v>274.92</v>
      </c>
      <c r="D350" s="158"/>
      <c r="E350" s="158">
        <f t="shared" si="98"/>
        <v>274.92</v>
      </c>
      <c r="F350" s="158">
        <v>5.97</v>
      </c>
      <c r="G350" s="158">
        <v>0</v>
      </c>
      <c r="H350" s="158">
        <v>0</v>
      </c>
      <c r="I350" s="158">
        <v>69.19</v>
      </c>
      <c r="J350" s="158">
        <f t="shared" si="86"/>
        <v>0</v>
      </c>
      <c r="K350" s="158">
        <v>350.08</v>
      </c>
      <c r="L350" s="158"/>
      <c r="M350" s="158">
        <f t="shared" si="101"/>
        <v>350.08</v>
      </c>
      <c r="N350" s="158">
        <f t="shared" si="100"/>
        <v>27.338862214462377</v>
      </c>
      <c r="O350" s="158">
        <v>350.08</v>
      </c>
      <c r="P350" s="158">
        <v>234.69</v>
      </c>
      <c r="Q350" s="158">
        <v>115.39</v>
      </c>
      <c r="R350" s="158">
        <f t="shared" si="93"/>
        <v>0</v>
      </c>
      <c r="S350" s="158">
        <f t="shared" si="94"/>
        <v>350.08</v>
      </c>
      <c r="T350" s="169" t="s">
        <v>126</v>
      </c>
    </row>
    <row r="351" spans="1:20" ht="28.5" customHeight="1">
      <c r="A351" s="156">
        <v>2130304</v>
      </c>
      <c r="B351" s="157" t="s">
        <v>436</v>
      </c>
      <c r="C351" s="158">
        <v>23.2</v>
      </c>
      <c r="D351" s="158"/>
      <c r="E351" s="158">
        <f t="shared" si="98"/>
        <v>23.2</v>
      </c>
      <c r="F351" s="158">
        <v>0</v>
      </c>
      <c r="G351" s="158">
        <v>0</v>
      </c>
      <c r="H351" s="158">
        <v>0</v>
      </c>
      <c r="I351" s="158">
        <v>0</v>
      </c>
      <c r="J351" s="158">
        <f t="shared" si="86"/>
        <v>0</v>
      </c>
      <c r="K351" s="158">
        <v>23.2</v>
      </c>
      <c r="L351" s="158"/>
      <c r="M351" s="158">
        <f t="shared" si="101"/>
        <v>23.2</v>
      </c>
      <c r="N351" s="158">
        <f t="shared" si="100"/>
        <v>0</v>
      </c>
      <c r="O351" s="158">
        <v>23.2</v>
      </c>
      <c r="P351" s="158">
        <v>15.15</v>
      </c>
      <c r="Q351" s="158">
        <v>8.05</v>
      </c>
      <c r="R351" s="158">
        <f t="shared" si="93"/>
        <v>0</v>
      </c>
      <c r="S351" s="158">
        <f t="shared" si="94"/>
        <v>23.2</v>
      </c>
      <c r="T351" s="169"/>
    </row>
    <row r="352" spans="1:20" ht="36.75" customHeight="1">
      <c r="A352" s="156">
        <v>2130305</v>
      </c>
      <c r="B352" s="157" t="s">
        <v>437</v>
      </c>
      <c r="C352" s="158">
        <v>1843</v>
      </c>
      <c r="D352" s="158">
        <v>226</v>
      </c>
      <c r="E352" s="158">
        <f t="shared" si="98"/>
        <v>2069</v>
      </c>
      <c r="F352" s="158">
        <v>-685</v>
      </c>
      <c r="G352" s="158">
        <v>0</v>
      </c>
      <c r="H352" s="158">
        <v>0</v>
      </c>
      <c r="I352" s="158">
        <v>0</v>
      </c>
      <c r="J352" s="158">
        <f t="shared" si="86"/>
        <v>5913.87</v>
      </c>
      <c r="K352" s="158">
        <v>1158</v>
      </c>
      <c r="L352" s="158">
        <v>6139.87</v>
      </c>
      <c r="M352" s="158">
        <f t="shared" si="101"/>
        <v>7297.87</v>
      </c>
      <c r="N352" s="158">
        <f t="shared" si="100"/>
        <v>252.72450459159015</v>
      </c>
      <c r="O352" s="158">
        <v>1158</v>
      </c>
      <c r="P352" s="158">
        <v>246.61</v>
      </c>
      <c r="Q352" s="158">
        <v>911.39</v>
      </c>
      <c r="R352" s="158">
        <f t="shared" si="93"/>
        <v>6139.87</v>
      </c>
      <c r="S352" s="158">
        <f t="shared" si="94"/>
        <v>7297.87</v>
      </c>
      <c r="T352" s="169" t="s">
        <v>438</v>
      </c>
    </row>
    <row r="353" spans="1:20" ht="28.5" customHeight="1">
      <c r="A353" s="156">
        <v>2130306</v>
      </c>
      <c r="B353" s="157" t="s">
        <v>439</v>
      </c>
      <c r="C353" s="158">
        <v>26.9</v>
      </c>
      <c r="D353" s="158">
        <v>57.04</v>
      </c>
      <c r="E353" s="158">
        <f t="shared" si="98"/>
        <v>83.94</v>
      </c>
      <c r="F353" s="158">
        <v>-2.7</v>
      </c>
      <c r="G353" s="158">
        <v>0</v>
      </c>
      <c r="H353" s="158">
        <v>0</v>
      </c>
      <c r="I353" s="158">
        <v>0</v>
      </c>
      <c r="J353" s="158">
        <f t="shared" si="86"/>
        <v>0</v>
      </c>
      <c r="K353" s="158">
        <v>24.2</v>
      </c>
      <c r="L353" s="158">
        <v>57.04</v>
      </c>
      <c r="M353" s="158">
        <f t="shared" si="101"/>
        <v>81.24</v>
      </c>
      <c r="N353" s="158">
        <f t="shared" si="100"/>
        <v>-3.216583273766982</v>
      </c>
      <c r="O353" s="158">
        <v>24.2</v>
      </c>
      <c r="P353" s="158">
        <v>11</v>
      </c>
      <c r="Q353" s="158">
        <v>13.2</v>
      </c>
      <c r="R353" s="158">
        <f t="shared" si="93"/>
        <v>57.04</v>
      </c>
      <c r="S353" s="158">
        <f t="shared" si="94"/>
        <v>81.24</v>
      </c>
      <c r="T353" s="169"/>
    </row>
    <row r="354" spans="1:20" ht="52.5" customHeight="1">
      <c r="A354" s="156">
        <v>2130308</v>
      </c>
      <c r="B354" s="157" t="s">
        <v>440</v>
      </c>
      <c r="C354" s="158">
        <v>442.21</v>
      </c>
      <c r="D354" s="158"/>
      <c r="E354" s="158">
        <f t="shared" si="98"/>
        <v>442.21</v>
      </c>
      <c r="F354" s="158">
        <v>-347.21</v>
      </c>
      <c r="G354" s="158">
        <v>0</v>
      </c>
      <c r="H354" s="158">
        <v>0</v>
      </c>
      <c r="I354" s="158">
        <v>0</v>
      </c>
      <c r="J354" s="158">
        <f t="shared" si="86"/>
        <v>0</v>
      </c>
      <c r="K354" s="158">
        <v>95</v>
      </c>
      <c r="L354" s="158"/>
      <c r="M354" s="158">
        <f t="shared" si="101"/>
        <v>95</v>
      </c>
      <c r="N354" s="158">
        <f t="shared" si="100"/>
        <v>-78.51699418828159</v>
      </c>
      <c r="O354" s="158">
        <v>95</v>
      </c>
      <c r="P354" s="158">
        <v>0</v>
      </c>
      <c r="Q354" s="158">
        <v>95</v>
      </c>
      <c r="R354" s="158">
        <f t="shared" si="93"/>
        <v>0</v>
      </c>
      <c r="S354" s="158">
        <f t="shared" si="94"/>
        <v>95</v>
      </c>
      <c r="T354" s="169" t="s">
        <v>441</v>
      </c>
    </row>
    <row r="355" spans="1:20" ht="28.5" customHeight="1">
      <c r="A355" s="156">
        <v>2130310</v>
      </c>
      <c r="B355" s="157" t="s">
        <v>442</v>
      </c>
      <c r="C355" s="158">
        <v>35</v>
      </c>
      <c r="D355" s="158"/>
      <c r="E355" s="158">
        <f t="shared" si="98"/>
        <v>35</v>
      </c>
      <c r="F355" s="158">
        <v>0</v>
      </c>
      <c r="G355" s="158">
        <v>-33</v>
      </c>
      <c r="H355" s="158">
        <v>0</v>
      </c>
      <c r="I355" s="158">
        <v>0</v>
      </c>
      <c r="J355" s="158">
        <f t="shared" si="86"/>
        <v>0</v>
      </c>
      <c r="K355" s="158">
        <v>2</v>
      </c>
      <c r="L355" s="158"/>
      <c r="M355" s="158">
        <f t="shared" si="101"/>
        <v>2</v>
      </c>
      <c r="N355" s="158">
        <f t="shared" si="100"/>
        <v>-94.28571428571428</v>
      </c>
      <c r="O355" s="158">
        <v>2</v>
      </c>
      <c r="P355" s="158">
        <v>2</v>
      </c>
      <c r="Q355" s="158">
        <v>0</v>
      </c>
      <c r="R355" s="158">
        <f t="shared" si="93"/>
        <v>0</v>
      </c>
      <c r="S355" s="158">
        <f t="shared" si="94"/>
        <v>2</v>
      </c>
      <c r="T355" s="169" t="s">
        <v>194</v>
      </c>
    </row>
    <row r="356" spans="1:20" ht="66" customHeight="1">
      <c r="A356" s="156">
        <v>2130311</v>
      </c>
      <c r="B356" s="157" t="s">
        <v>443</v>
      </c>
      <c r="C356" s="158">
        <v>109.47</v>
      </c>
      <c r="D356" s="158">
        <v>1.5</v>
      </c>
      <c r="E356" s="158">
        <f t="shared" si="98"/>
        <v>110.97</v>
      </c>
      <c r="F356" s="158">
        <v>-2.02</v>
      </c>
      <c r="G356" s="158">
        <v>-0.4</v>
      </c>
      <c r="H356" s="158">
        <v>0</v>
      </c>
      <c r="I356" s="158">
        <v>2.67</v>
      </c>
      <c r="J356" s="158">
        <f t="shared" si="86"/>
        <v>0</v>
      </c>
      <c r="K356" s="158">
        <v>109.72</v>
      </c>
      <c r="L356" s="158">
        <v>1.5</v>
      </c>
      <c r="M356" s="158">
        <f t="shared" si="101"/>
        <v>111.22</v>
      </c>
      <c r="N356" s="158">
        <f t="shared" si="100"/>
        <v>0.22528611336396498</v>
      </c>
      <c r="O356" s="158">
        <v>109.72</v>
      </c>
      <c r="P356" s="158">
        <v>68</v>
      </c>
      <c r="Q356" s="158">
        <v>41.72</v>
      </c>
      <c r="R356" s="158">
        <f t="shared" si="93"/>
        <v>1.5</v>
      </c>
      <c r="S356" s="158">
        <f t="shared" si="94"/>
        <v>111.22</v>
      </c>
      <c r="T356" s="169" t="s">
        <v>103</v>
      </c>
    </row>
    <row r="357" spans="1:20" ht="28.5" customHeight="1">
      <c r="A357" s="156">
        <v>2130314</v>
      </c>
      <c r="B357" s="157" t="s">
        <v>444</v>
      </c>
      <c r="C357" s="158">
        <v>2</v>
      </c>
      <c r="D357" s="158">
        <v>50</v>
      </c>
      <c r="E357" s="158">
        <f t="shared" si="98"/>
        <v>52</v>
      </c>
      <c r="F357" s="158">
        <v>0</v>
      </c>
      <c r="G357" s="158">
        <v>0</v>
      </c>
      <c r="H357" s="158">
        <v>0</v>
      </c>
      <c r="I357" s="158">
        <v>0</v>
      </c>
      <c r="J357" s="158">
        <f t="shared" si="86"/>
        <v>30</v>
      </c>
      <c r="K357" s="158">
        <v>2</v>
      </c>
      <c r="L357" s="158">
        <v>80</v>
      </c>
      <c r="M357" s="158">
        <f t="shared" si="101"/>
        <v>82</v>
      </c>
      <c r="N357" s="158">
        <f t="shared" si="100"/>
        <v>57.692307692307686</v>
      </c>
      <c r="O357" s="158">
        <v>2</v>
      </c>
      <c r="P357" s="158">
        <v>2</v>
      </c>
      <c r="Q357" s="158">
        <v>0</v>
      </c>
      <c r="R357" s="158">
        <f t="shared" si="93"/>
        <v>80</v>
      </c>
      <c r="S357" s="158">
        <f t="shared" si="94"/>
        <v>82</v>
      </c>
      <c r="T357" s="169" t="s">
        <v>137</v>
      </c>
    </row>
    <row r="358" spans="1:20" ht="28.5" customHeight="1">
      <c r="A358" s="156">
        <v>2130315</v>
      </c>
      <c r="B358" s="157" t="s">
        <v>445</v>
      </c>
      <c r="C358" s="158">
        <v>20</v>
      </c>
      <c r="D358" s="158"/>
      <c r="E358" s="158">
        <f t="shared" si="98"/>
        <v>20</v>
      </c>
      <c r="F358" s="158">
        <v>0</v>
      </c>
      <c r="G358" s="158">
        <v>0</v>
      </c>
      <c r="H358" s="158">
        <v>0</v>
      </c>
      <c r="I358" s="158">
        <v>0</v>
      </c>
      <c r="J358" s="158">
        <f t="shared" si="86"/>
        <v>0</v>
      </c>
      <c r="K358" s="158">
        <v>20</v>
      </c>
      <c r="L358" s="158"/>
      <c r="M358" s="158">
        <f t="shared" si="101"/>
        <v>20</v>
      </c>
      <c r="N358" s="158">
        <f t="shared" si="100"/>
        <v>0</v>
      </c>
      <c r="O358" s="158">
        <v>20</v>
      </c>
      <c r="P358" s="158">
        <v>18</v>
      </c>
      <c r="Q358" s="158">
        <v>2</v>
      </c>
      <c r="R358" s="158">
        <f t="shared" si="93"/>
        <v>0</v>
      </c>
      <c r="S358" s="158">
        <f t="shared" si="94"/>
        <v>20</v>
      </c>
      <c r="T358" s="169"/>
    </row>
    <row r="359" spans="1:20" ht="28.5" customHeight="1">
      <c r="A359" s="156">
        <v>2130316</v>
      </c>
      <c r="B359" s="157" t="s">
        <v>446</v>
      </c>
      <c r="C359" s="158">
        <v>20</v>
      </c>
      <c r="D359" s="158"/>
      <c r="E359" s="158">
        <f t="shared" si="98"/>
        <v>20</v>
      </c>
      <c r="F359" s="158">
        <v>0</v>
      </c>
      <c r="G359" s="158">
        <v>0</v>
      </c>
      <c r="H359" s="158">
        <v>0</v>
      </c>
      <c r="I359" s="158">
        <v>0</v>
      </c>
      <c r="J359" s="158">
        <f t="shared" si="86"/>
        <v>0</v>
      </c>
      <c r="K359" s="158">
        <v>20</v>
      </c>
      <c r="L359" s="158"/>
      <c r="M359" s="158">
        <f t="shared" si="101"/>
        <v>20</v>
      </c>
      <c r="N359" s="158">
        <f t="shared" si="100"/>
        <v>0</v>
      </c>
      <c r="O359" s="158">
        <v>20</v>
      </c>
      <c r="P359" s="158">
        <v>18</v>
      </c>
      <c r="Q359" s="158">
        <v>2</v>
      </c>
      <c r="R359" s="158">
        <f t="shared" si="93"/>
        <v>0</v>
      </c>
      <c r="S359" s="158">
        <f t="shared" si="94"/>
        <v>20</v>
      </c>
      <c r="T359" s="169"/>
    </row>
    <row r="360" spans="1:20" ht="28.5" customHeight="1">
      <c r="A360" s="156">
        <v>2130317</v>
      </c>
      <c r="B360" s="157" t="s">
        <v>447</v>
      </c>
      <c r="C360" s="158">
        <v>6</v>
      </c>
      <c r="D360" s="158"/>
      <c r="E360" s="158">
        <f t="shared" si="98"/>
        <v>6</v>
      </c>
      <c r="F360" s="158">
        <v>0</v>
      </c>
      <c r="G360" s="158">
        <v>0</v>
      </c>
      <c r="H360" s="158">
        <v>0</v>
      </c>
      <c r="I360" s="158">
        <v>0</v>
      </c>
      <c r="J360" s="158">
        <f t="shared" si="86"/>
        <v>0</v>
      </c>
      <c r="K360" s="158">
        <v>6</v>
      </c>
      <c r="L360" s="158"/>
      <c r="M360" s="158">
        <f t="shared" si="101"/>
        <v>6</v>
      </c>
      <c r="N360" s="158">
        <f t="shared" si="100"/>
        <v>0</v>
      </c>
      <c r="O360" s="158">
        <v>6</v>
      </c>
      <c r="P360" s="158">
        <v>4</v>
      </c>
      <c r="Q360" s="158">
        <v>2</v>
      </c>
      <c r="R360" s="158">
        <f t="shared" si="93"/>
        <v>0</v>
      </c>
      <c r="S360" s="158">
        <f t="shared" si="94"/>
        <v>6</v>
      </c>
      <c r="T360" s="169"/>
    </row>
    <row r="361" spans="1:20" ht="28.5" customHeight="1">
      <c r="A361" s="156">
        <v>2130322</v>
      </c>
      <c r="B361" s="157" t="s">
        <v>448</v>
      </c>
      <c r="C361" s="158"/>
      <c r="D361" s="158">
        <v>6</v>
      </c>
      <c r="E361" s="158">
        <f t="shared" si="98"/>
        <v>6</v>
      </c>
      <c r="F361" s="158"/>
      <c r="G361" s="158"/>
      <c r="H361" s="158"/>
      <c r="I361" s="158"/>
      <c r="J361" s="158">
        <f t="shared" si="86"/>
        <v>0</v>
      </c>
      <c r="K361" s="158"/>
      <c r="L361" s="158">
        <v>6</v>
      </c>
      <c r="M361" s="158">
        <f>L361+K361</f>
        <v>6</v>
      </c>
      <c r="N361" s="158">
        <f t="shared" si="100"/>
        <v>0</v>
      </c>
      <c r="O361" s="158"/>
      <c r="P361" s="158"/>
      <c r="Q361" s="158"/>
      <c r="R361" s="158">
        <f t="shared" si="93"/>
        <v>6</v>
      </c>
      <c r="S361" s="158">
        <f t="shared" si="94"/>
        <v>6</v>
      </c>
      <c r="T361" s="169"/>
    </row>
    <row r="362" spans="1:20" ht="58.5" customHeight="1">
      <c r="A362" s="156">
        <v>2130399</v>
      </c>
      <c r="B362" s="157" t="s">
        <v>449</v>
      </c>
      <c r="C362" s="158">
        <v>72</v>
      </c>
      <c r="D362" s="158"/>
      <c r="E362" s="158">
        <f t="shared" si="98"/>
        <v>72</v>
      </c>
      <c r="F362" s="158">
        <v>-20</v>
      </c>
      <c r="G362" s="158">
        <v>0</v>
      </c>
      <c r="H362" s="158">
        <v>0</v>
      </c>
      <c r="I362" s="158">
        <v>0</v>
      </c>
      <c r="J362" s="158">
        <f t="shared" si="86"/>
        <v>305</v>
      </c>
      <c r="K362" s="158">
        <v>52</v>
      </c>
      <c r="L362" s="158">
        <v>305</v>
      </c>
      <c r="M362" s="158">
        <f aca="true" t="shared" si="102" ref="M362:M377">K362+L362</f>
        <v>357</v>
      </c>
      <c r="N362" s="158">
        <f t="shared" si="100"/>
        <v>395.8333333333333</v>
      </c>
      <c r="O362" s="158">
        <v>52</v>
      </c>
      <c r="P362" s="158">
        <v>0</v>
      </c>
      <c r="Q362" s="158">
        <v>52</v>
      </c>
      <c r="R362" s="158">
        <f t="shared" si="93"/>
        <v>305</v>
      </c>
      <c r="S362" s="158">
        <f t="shared" si="94"/>
        <v>357</v>
      </c>
      <c r="T362" s="169" t="s">
        <v>450</v>
      </c>
    </row>
    <row r="363" spans="1:20" ht="28.5" customHeight="1">
      <c r="A363" s="156">
        <v>21305</v>
      </c>
      <c r="B363" s="157" t="s">
        <v>451</v>
      </c>
      <c r="C363" s="158">
        <v>207.83</v>
      </c>
      <c r="D363" s="158">
        <v>59.88</v>
      </c>
      <c r="E363" s="158">
        <f t="shared" si="98"/>
        <v>267.71000000000004</v>
      </c>
      <c r="F363" s="158">
        <v>-81.41</v>
      </c>
      <c r="G363" s="158">
        <v>0</v>
      </c>
      <c r="H363" s="158">
        <v>0</v>
      </c>
      <c r="I363" s="158">
        <v>0</v>
      </c>
      <c r="J363" s="158">
        <f t="shared" si="86"/>
        <v>975.6</v>
      </c>
      <c r="K363" s="158">
        <v>126.42</v>
      </c>
      <c r="L363" s="158">
        <v>1035.48</v>
      </c>
      <c r="M363" s="158">
        <f t="shared" si="102"/>
        <v>1161.9</v>
      </c>
      <c r="N363" s="158">
        <f t="shared" si="100"/>
        <v>334.01441858727725</v>
      </c>
      <c r="O363" s="158">
        <v>126.42</v>
      </c>
      <c r="P363" s="158">
        <v>38.27</v>
      </c>
      <c r="Q363" s="158">
        <v>88.15</v>
      </c>
      <c r="R363" s="158">
        <f t="shared" si="93"/>
        <v>1035.48</v>
      </c>
      <c r="S363" s="158">
        <f t="shared" si="94"/>
        <v>1161.9</v>
      </c>
      <c r="T363" s="169"/>
    </row>
    <row r="364" spans="1:20" ht="90" customHeight="1">
      <c r="A364" s="156">
        <v>2130599</v>
      </c>
      <c r="B364" s="157" t="s">
        <v>452</v>
      </c>
      <c r="C364" s="158">
        <v>207.83</v>
      </c>
      <c r="D364" s="158">
        <v>59.88</v>
      </c>
      <c r="E364" s="158">
        <f t="shared" si="98"/>
        <v>267.71000000000004</v>
      </c>
      <c r="F364" s="158">
        <v>-81.41</v>
      </c>
      <c r="G364" s="158">
        <v>0</v>
      </c>
      <c r="H364" s="158">
        <v>0</v>
      </c>
      <c r="I364" s="158">
        <v>0</v>
      </c>
      <c r="J364" s="158">
        <f t="shared" si="86"/>
        <v>975.6</v>
      </c>
      <c r="K364" s="158">
        <v>126.42</v>
      </c>
      <c r="L364" s="158">
        <v>1035.48</v>
      </c>
      <c r="M364" s="158">
        <f t="shared" si="102"/>
        <v>1161.9</v>
      </c>
      <c r="N364" s="158">
        <f t="shared" si="100"/>
        <v>334.01441858727725</v>
      </c>
      <c r="O364" s="158">
        <v>126.42</v>
      </c>
      <c r="P364" s="158">
        <v>38.27</v>
      </c>
      <c r="Q364" s="158">
        <v>88.15</v>
      </c>
      <c r="R364" s="158">
        <f t="shared" si="93"/>
        <v>1035.48</v>
      </c>
      <c r="S364" s="158">
        <f t="shared" si="94"/>
        <v>1161.9</v>
      </c>
      <c r="T364" s="169" t="s">
        <v>453</v>
      </c>
    </row>
    <row r="365" spans="1:20" ht="28.5" customHeight="1">
      <c r="A365" s="156">
        <v>21307</v>
      </c>
      <c r="B365" s="157" t="s">
        <v>454</v>
      </c>
      <c r="C365" s="158">
        <v>56.82</v>
      </c>
      <c r="D365" s="158">
        <f>D366+D367</f>
        <v>4343.5</v>
      </c>
      <c r="E365" s="158">
        <f t="shared" si="98"/>
        <v>4400.32</v>
      </c>
      <c r="F365" s="158">
        <v>190</v>
      </c>
      <c r="G365" s="158">
        <v>0</v>
      </c>
      <c r="H365" s="158">
        <v>0</v>
      </c>
      <c r="I365" s="158">
        <v>0</v>
      </c>
      <c r="J365" s="158">
        <f t="shared" si="86"/>
        <v>345.75</v>
      </c>
      <c r="K365" s="158">
        <v>246.82</v>
      </c>
      <c r="L365" s="158">
        <v>4689.25</v>
      </c>
      <c r="M365" s="158">
        <f t="shared" si="102"/>
        <v>4936.07</v>
      </c>
      <c r="N365" s="158">
        <f t="shared" si="100"/>
        <v>12.175250890844303</v>
      </c>
      <c r="O365" s="158">
        <v>246.82</v>
      </c>
      <c r="P365" s="158">
        <v>46.82</v>
      </c>
      <c r="Q365" s="158">
        <v>200</v>
      </c>
      <c r="R365" s="158">
        <f t="shared" si="93"/>
        <v>4689.25</v>
      </c>
      <c r="S365" s="158">
        <f t="shared" si="94"/>
        <v>4936.07</v>
      </c>
      <c r="T365" s="169"/>
    </row>
    <row r="366" spans="1:20" ht="42" customHeight="1">
      <c r="A366" s="156">
        <v>2130701</v>
      </c>
      <c r="B366" s="157" t="s">
        <v>455</v>
      </c>
      <c r="C366" s="158">
        <v>53.28</v>
      </c>
      <c r="D366" s="158">
        <v>43.5</v>
      </c>
      <c r="E366" s="158">
        <f t="shared" si="98"/>
        <v>96.78</v>
      </c>
      <c r="F366" s="158">
        <v>-10</v>
      </c>
      <c r="G366" s="158">
        <v>0</v>
      </c>
      <c r="H366" s="158">
        <v>0</v>
      </c>
      <c r="I366" s="158">
        <v>0</v>
      </c>
      <c r="J366" s="158">
        <f t="shared" si="86"/>
        <v>345.75</v>
      </c>
      <c r="K366" s="158">
        <v>43.28</v>
      </c>
      <c r="L366" s="158">
        <v>389.25</v>
      </c>
      <c r="M366" s="158">
        <f t="shared" si="102"/>
        <v>432.53</v>
      </c>
      <c r="N366" s="158">
        <f t="shared" si="100"/>
        <v>346.92085141558164</v>
      </c>
      <c r="O366" s="158">
        <v>43.28</v>
      </c>
      <c r="P366" s="158">
        <v>43.28</v>
      </c>
      <c r="Q366" s="158">
        <v>0</v>
      </c>
      <c r="R366" s="158">
        <f t="shared" si="93"/>
        <v>389.25</v>
      </c>
      <c r="S366" s="158">
        <f t="shared" si="94"/>
        <v>432.53</v>
      </c>
      <c r="T366" s="169" t="s">
        <v>456</v>
      </c>
    </row>
    <row r="367" spans="1:20" ht="52.5" customHeight="1">
      <c r="A367" s="156">
        <v>2130706</v>
      </c>
      <c r="B367" s="157" t="s">
        <v>457</v>
      </c>
      <c r="C367" s="158">
        <v>0</v>
      </c>
      <c r="D367" s="158">
        <v>4300</v>
      </c>
      <c r="E367" s="158">
        <f t="shared" si="98"/>
        <v>4300</v>
      </c>
      <c r="F367" s="158">
        <v>200</v>
      </c>
      <c r="G367" s="158">
        <v>0</v>
      </c>
      <c r="H367" s="158">
        <v>0</v>
      </c>
      <c r="I367" s="158">
        <v>0</v>
      </c>
      <c r="J367" s="158">
        <f t="shared" si="86"/>
        <v>0</v>
      </c>
      <c r="K367" s="158">
        <v>200</v>
      </c>
      <c r="L367" s="158">
        <v>4300</v>
      </c>
      <c r="M367" s="158">
        <f t="shared" si="102"/>
        <v>4500</v>
      </c>
      <c r="N367" s="158">
        <f t="shared" si="100"/>
        <v>4.651162790697683</v>
      </c>
      <c r="O367" s="158">
        <v>200</v>
      </c>
      <c r="P367" s="158">
        <v>0</v>
      </c>
      <c r="Q367" s="158">
        <v>200</v>
      </c>
      <c r="R367" s="158">
        <f t="shared" si="93"/>
        <v>4300</v>
      </c>
      <c r="S367" s="158">
        <f t="shared" si="94"/>
        <v>4500</v>
      </c>
      <c r="T367" s="169" t="s">
        <v>458</v>
      </c>
    </row>
    <row r="368" spans="1:20" ht="28.5" customHeight="1">
      <c r="A368" s="156">
        <v>2130799</v>
      </c>
      <c r="B368" s="157" t="s">
        <v>459</v>
      </c>
      <c r="C368" s="158">
        <v>3.54</v>
      </c>
      <c r="D368" s="158"/>
      <c r="E368" s="158">
        <f t="shared" si="98"/>
        <v>3.54</v>
      </c>
      <c r="F368" s="158">
        <v>0</v>
      </c>
      <c r="G368" s="158">
        <v>0</v>
      </c>
      <c r="H368" s="158">
        <v>0</v>
      </c>
      <c r="I368" s="158">
        <v>0</v>
      </c>
      <c r="J368" s="158">
        <f t="shared" si="86"/>
        <v>0</v>
      </c>
      <c r="K368" s="158">
        <v>3.54</v>
      </c>
      <c r="L368" s="158"/>
      <c r="M368" s="158">
        <f t="shared" si="102"/>
        <v>3.54</v>
      </c>
      <c r="N368" s="158">
        <f t="shared" si="100"/>
        <v>0</v>
      </c>
      <c r="O368" s="158">
        <v>3.54</v>
      </c>
      <c r="P368" s="158">
        <v>3.54</v>
      </c>
      <c r="Q368" s="158">
        <v>0</v>
      </c>
      <c r="R368" s="158">
        <f t="shared" si="93"/>
        <v>0</v>
      </c>
      <c r="S368" s="158">
        <f t="shared" si="94"/>
        <v>3.54</v>
      </c>
      <c r="T368" s="169"/>
    </row>
    <row r="369" spans="1:20" ht="28.5" customHeight="1">
      <c r="A369" s="156">
        <v>21308</v>
      </c>
      <c r="B369" s="157" t="s">
        <v>460</v>
      </c>
      <c r="C369" s="158">
        <v>12.8</v>
      </c>
      <c r="D369" s="158"/>
      <c r="E369" s="158">
        <f t="shared" si="98"/>
        <v>12.8</v>
      </c>
      <c r="F369" s="158">
        <v>0</v>
      </c>
      <c r="G369" s="158">
        <v>0</v>
      </c>
      <c r="H369" s="158">
        <v>0</v>
      </c>
      <c r="I369" s="158">
        <v>18</v>
      </c>
      <c r="J369" s="158">
        <f t="shared" si="86"/>
        <v>0</v>
      </c>
      <c r="K369" s="158">
        <v>30.8</v>
      </c>
      <c r="L369" s="158"/>
      <c r="M369" s="158">
        <f t="shared" si="102"/>
        <v>30.8</v>
      </c>
      <c r="N369" s="158">
        <f t="shared" si="100"/>
        <v>140.625</v>
      </c>
      <c r="O369" s="158">
        <v>30.8</v>
      </c>
      <c r="P369" s="158">
        <v>8.4</v>
      </c>
      <c r="Q369" s="158">
        <v>22.4</v>
      </c>
      <c r="R369" s="158">
        <f t="shared" si="93"/>
        <v>0</v>
      </c>
      <c r="S369" s="158">
        <f t="shared" si="94"/>
        <v>30.8</v>
      </c>
      <c r="T369" s="169"/>
    </row>
    <row r="370" spans="1:20" ht="28.5" customHeight="1">
      <c r="A370" s="156">
        <v>2130803</v>
      </c>
      <c r="B370" s="157" t="s">
        <v>461</v>
      </c>
      <c r="C370" s="158">
        <v>12.8</v>
      </c>
      <c r="D370" s="158"/>
      <c r="E370" s="158">
        <f t="shared" si="98"/>
        <v>12.8</v>
      </c>
      <c r="F370" s="158">
        <v>0</v>
      </c>
      <c r="G370" s="158">
        <v>0</v>
      </c>
      <c r="H370" s="158">
        <v>0</v>
      </c>
      <c r="I370" s="158">
        <v>0</v>
      </c>
      <c r="J370" s="158">
        <f aca="true" t="shared" si="103" ref="J370:J433">L370-D370</f>
        <v>0</v>
      </c>
      <c r="K370" s="158">
        <v>12.8</v>
      </c>
      <c r="L370" s="158"/>
      <c r="M370" s="158">
        <f t="shared" si="102"/>
        <v>12.8</v>
      </c>
      <c r="N370" s="158">
        <f t="shared" si="100"/>
        <v>0</v>
      </c>
      <c r="O370" s="158">
        <v>12.8</v>
      </c>
      <c r="P370" s="158">
        <v>3.95</v>
      </c>
      <c r="Q370" s="158">
        <v>8.85</v>
      </c>
      <c r="R370" s="158">
        <f t="shared" si="93"/>
        <v>0</v>
      </c>
      <c r="S370" s="158">
        <f t="shared" si="94"/>
        <v>12.8</v>
      </c>
      <c r="T370" s="169"/>
    </row>
    <row r="371" spans="1:20" ht="43.5" customHeight="1">
      <c r="A371" s="156">
        <v>2130804</v>
      </c>
      <c r="B371" s="157" t="s">
        <v>462</v>
      </c>
      <c r="C371" s="158">
        <v>0</v>
      </c>
      <c r="D371" s="158"/>
      <c r="E371" s="158">
        <f t="shared" si="98"/>
        <v>0</v>
      </c>
      <c r="F371" s="158">
        <v>0</v>
      </c>
      <c r="G371" s="158">
        <v>0</v>
      </c>
      <c r="H371" s="158">
        <v>0</v>
      </c>
      <c r="I371" s="158">
        <v>18</v>
      </c>
      <c r="J371" s="158">
        <f t="shared" si="103"/>
        <v>0</v>
      </c>
      <c r="K371" s="158">
        <v>18</v>
      </c>
      <c r="L371" s="158"/>
      <c r="M371" s="158">
        <f t="shared" si="102"/>
        <v>18</v>
      </c>
      <c r="N371" s="158">
        <v>100</v>
      </c>
      <c r="O371" s="158">
        <v>18</v>
      </c>
      <c r="P371" s="158">
        <v>4.45</v>
      </c>
      <c r="Q371" s="158">
        <v>13.55</v>
      </c>
      <c r="R371" s="158">
        <f t="shared" si="93"/>
        <v>0</v>
      </c>
      <c r="S371" s="158">
        <f t="shared" si="94"/>
        <v>18</v>
      </c>
      <c r="T371" s="169" t="s">
        <v>294</v>
      </c>
    </row>
    <row r="372" spans="1:20" ht="28.5" customHeight="1">
      <c r="A372" s="156">
        <v>21399</v>
      </c>
      <c r="B372" s="157" t="s">
        <v>463</v>
      </c>
      <c r="C372" s="158">
        <v>416.8</v>
      </c>
      <c r="D372" s="158"/>
      <c r="E372" s="158">
        <f t="shared" si="98"/>
        <v>416.8</v>
      </c>
      <c r="F372" s="158">
        <v>440.9</v>
      </c>
      <c r="G372" s="158">
        <v>0</v>
      </c>
      <c r="H372" s="158">
        <v>0</v>
      </c>
      <c r="I372" s="158">
        <v>-0.39999999999997726</v>
      </c>
      <c r="J372" s="158">
        <f t="shared" si="103"/>
        <v>1.8199999999999998</v>
      </c>
      <c r="K372" s="158">
        <v>857.3</v>
      </c>
      <c r="L372" s="158">
        <v>1.8199999999999998</v>
      </c>
      <c r="M372" s="158">
        <f t="shared" si="102"/>
        <v>859.12</v>
      </c>
      <c r="N372" s="158">
        <f aca="true" t="shared" si="104" ref="N372:N379">(M372/E372-1)*100</f>
        <v>106.12284069097888</v>
      </c>
      <c r="O372" s="158">
        <v>857.3</v>
      </c>
      <c r="P372" s="158">
        <v>393.64</v>
      </c>
      <c r="Q372" s="158">
        <v>463.66</v>
      </c>
      <c r="R372" s="158">
        <f t="shared" si="93"/>
        <v>1.8199999999999998</v>
      </c>
      <c r="S372" s="158">
        <f t="shared" si="94"/>
        <v>859.12</v>
      </c>
      <c r="T372" s="169"/>
    </row>
    <row r="373" spans="1:20" ht="94.5" customHeight="1">
      <c r="A373" s="156">
        <v>2139999</v>
      </c>
      <c r="B373" s="157" t="s">
        <v>463</v>
      </c>
      <c r="C373" s="158">
        <v>416.8</v>
      </c>
      <c r="D373" s="158"/>
      <c r="E373" s="158">
        <f t="shared" si="98"/>
        <v>416.8</v>
      </c>
      <c r="F373" s="158">
        <v>440.9</v>
      </c>
      <c r="G373" s="158">
        <v>0</v>
      </c>
      <c r="H373" s="158">
        <v>0</v>
      </c>
      <c r="I373" s="158">
        <v>-0.39999999999997726</v>
      </c>
      <c r="J373" s="158">
        <f t="shared" si="103"/>
        <v>1.8199999999999998</v>
      </c>
      <c r="K373" s="158">
        <v>857.3</v>
      </c>
      <c r="L373" s="158">
        <v>1.8199999999999998</v>
      </c>
      <c r="M373" s="158">
        <f t="shared" si="102"/>
        <v>859.12</v>
      </c>
      <c r="N373" s="158">
        <f t="shared" si="104"/>
        <v>106.12284069097888</v>
      </c>
      <c r="O373" s="158">
        <v>857.3</v>
      </c>
      <c r="P373" s="158">
        <v>393.64</v>
      </c>
      <c r="Q373" s="158">
        <v>463.66</v>
      </c>
      <c r="R373" s="158">
        <f t="shared" si="93"/>
        <v>1.8199999999999998</v>
      </c>
      <c r="S373" s="158">
        <f t="shared" si="94"/>
        <v>859.12</v>
      </c>
      <c r="T373" s="169" t="s">
        <v>464</v>
      </c>
    </row>
    <row r="374" spans="1:20" ht="28.5" customHeight="1">
      <c r="A374" s="156">
        <v>214</v>
      </c>
      <c r="B374" s="157" t="s">
        <v>465</v>
      </c>
      <c r="C374" s="158">
        <f>C375+C380+C378</f>
        <v>149.27</v>
      </c>
      <c r="D374" s="158">
        <f aca="true" t="shared" si="105" ref="D374:I374">D375+D378+D380</f>
        <v>64.02</v>
      </c>
      <c r="E374" s="158">
        <f t="shared" si="98"/>
        <v>213.29000000000002</v>
      </c>
      <c r="F374" s="158">
        <f t="shared" si="105"/>
        <v>18</v>
      </c>
      <c r="G374" s="158">
        <f t="shared" si="105"/>
        <v>0</v>
      </c>
      <c r="H374" s="158">
        <f t="shared" si="105"/>
        <v>0</v>
      </c>
      <c r="I374" s="158">
        <f t="shared" si="105"/>
        <v>5.15</v>
      </c>
      <c r="J374" s="158">
        <f t="shared" si="103"/>
        <v>150</v>
      </c>
      <c r="K374" s="158">
        <f aca="true" t="shared" si="106" ref="K374:S374">K375+K378+K380</f>
        <v>172.42</v>
      </c>
      <c r="L374" s="158">
        <v>214.02</v>
      </c>
      <c r="M374" s="158">
        <f t="shared" si="102"/>
        <v>386.44</v>
      </c>
      <c r="N374" s="158">
        <f t="shared" si="104"/>
        <v>81.18055229968586</v>
      </c>
      <c r="O374" s="158">
        <f t="shared" si="106"/>
        <v>172.42</v>
      </c>
      <c r="P374" s="158">
        <f t="shared" si="106"/>
        <v>31.87</v>
      </c>
      <c r="Q374" s="158">
        <f t="shared" si="106"/>
        <v>140.55</v>
      </c>
      <c r="R374" s="158">
        <f t="shared" si="106"/>
        <v>214.01999999999998</v>
      </c>
      <c r="S374" s="158">
        <f t="shared" si="106"/>
        <v>386.43999999999994</v>
      </c>
      <c r="T374" s="169"/>
    </row>
    <row r="375" spans="1:20" ht="28.5" customHeight="1">
      <c r="A375" s="156">
        <v>21401</v>
      </c>
      <c r="B375" s="157" t="s">
        <v>466</v>
      </c>
      <c r="C375" s="158">
        <v>149.27</v>
      </c>
      <c r="D375" s="158"/>
      <c r="E375" s="158">
        <f t="shared" si="98"/>
        <v>149.27</v>
      </c>
      <c r="F375" s="158">
        <v>0</v>
      </c>
      <c r="G375" s="158">
        <v>0</v>
      </c>
      <c r="H375" s="158">
        <v>0</v>
      </c>
      <c r="I375" s="158">
        <v>5.15</v>
      </c>
      <c r="J375" s="158">
        <f t="shared" si="103"/>
        <v>150</v>
      </c>
      <c r="K375" s="158">
        <v>154.42</v>
      </c>
      <c r="L375" s="158">
        <v>150</v>
      </c>
      <c r="M375" s="158">
        <f t="shared" si="102"/>
        <v>304.41999999999996</v>
      </c>
      <c r="N375" s="158">
        <f t="shared" si="104"/>
        <v>103.93917063040124</v>
      </c>
      <c r="O375" s="158">
        <v>154.42</v>
      </c>
      <c r="P375" s="158">
        <v>31.87</v>
      </c>
      <c r="Q375" s="158">
        <v>122.55</v>
      </c>
      <c r="R375" s="158">
        <f aca="true" t="shared" si="107" ref="R375:R381">L375</f>
        <v>150</v>
      </c>
      <c r="S375" s="158">
        <f aca="true" t="shared" si="108" ref="S375:S381">M375</f>
        <v>304.41999999999996</v>
      </c>
      <c r="T375" s="169"/>
    </row>
    <row r="376" spans="1:20" ht="28.5" customHeight="1">
      <c r="A376" s="156">
        <v>2140104</v>
      </c>
      <c r="B376" s="157" t="s">
        <v>467</v>
      </c>
      <c r="C376" s="158">
        <v>100</v>
      </c>
      <c r="D376" s="158"/>
      <c r="E376" s="158">
        <f t="shared" si="98"/>
        <v>100</v>
      </c>
      <c r="F376" s="158">
        <v>0</v>
      </c>
      <c r="G376" s="158">
        <v>0</v>
      </c>
      <c r="H376" s="158">
        <v>0</v>
      </c>
      <c r="I376" s="158">
        <v>0</v>
      </c>
      <c r="J376" s="158">
        <f t="shared" si="103"/>
        <v>150</v>
      </c>
      <c r="K376" s="158">
        <v>100</v>
      </c>
      <c r="L376" s="158">
        <v>150</v>
      </c>
      <c r="M376" s="158">
        <f t="shared" si="102"/>
        <v>250</v>
      </c>
      <c r="N376" s="158">
        <f t="shared" si="104"/>
        <v>150</v>
      </c>
      <c r="O376" s="158">
        <v>100</v>
      </c>
      <c r="P376" s="158">
        <v>0</v>
      </c>
      <c r="Q376" s="158">
        <v>100</v>
      </c>
      <c r="R376" s="158">
        <f t="shared" si="107"/>
        <v>150</v>
      </c>
      <c r="S376" s="158">
        <f t="shared" si="108"/>
        <v>250</v>
      </c>
      <c r="T376" s="169" t="s">
        <v>137</v>
      </c>
    </row>
    <row r="377" spans="1:20" ht="52.5" customHeight="1">
      <c r="A377" s="156">
        <v>2140199</v>
      </c>
      <c r="B377" s="157" t="s">
        <v>468</v>
      </c>
      <c r="C377" s="158">
        <v>49.27</v>
      </c>
      <c r="D377" s="158"/>
      <c r="E377" s="158">
        <f t="shared" si="98"/>
        <v>49.27</v>
      </c>
      <c r="F377" s="158">
        <v>0</v>
      </c>
      <c r="G377" s="158">
        <v>0</v>
      </c>
      <c r="H377" s="158">
        <v>0</v>
      </c>
      <c r="I377" s="158">
        <v>5.15</v>
      </c>
      <c r="J377" s="158">
        <f t="shared" si="103"/>
        <v>0</v>
      </c>
      <c r="K377" s="158">
        <v>54.42</v>
      </c>
      <c r="L377" s="158"/>
      <c r="M377" s="158">
        <f t="shared" si="102"/>
        <v>54.42</v>
      </c>
      <c r="N377" s="158">
        <f t="shared" si="104"/>
        <v>10.452608077937885</v>
      </c>
      <c r="O377" s="158">
        <v>54.42</v>
      </c>
      <c r="P377" s="158">
        <v>31.87</v>
      </c>
      <c r="Q377" s="158">
        <v>22.55</v>
      </c>
      <c r="R377" s="158">
        <f t="shared" si="107"/>
        <v>0</v>
      </c>
      <c r="S377" s="158">
        <f t="shared" si="108"/>
        <v>54.42</v>
      </c>
      <c r="T377" s="169" t="s">
        <v>88</v>
      </c>
    </row>
    <row r="378" spans="1:20" ht="36.75" customHeight="1">
      <c r="A378" s="156">
        <v>21404</v>
      </c>
      <c r="B378" s="157" t="s">
        <v>469</v>
      </c>
      <c r="C378" s="158"/>
      <c r="D378" s="158">
        <f>D379</f>
        <v>64.02</v>
      </c>
      <c r="E378" s="158">
        <f t="shared" si="98"/>
        <v>64.02</v>
      </c>
      <c r="F378" s="158"/>
      <c r="G378" s="158"/>
      <c r="H378" s="158"/>
      <c r="I378" s="158"/>
      <c r="J378" s="158">
        <f t="shared" si="103"/>
        <v>0</v>
      </c>
      <c r="K378" s="158"/>
      <c r="L378" s="158">
        <v>64.02</v>
      </c>
      <c r="M378" s="158">
        <f aca="true" t="shared" si="109" ref="M378:M384">L378+K378</f>
        <v>64.02</v>
      </c>
      <c r="N378" s="158">
        <f t="shared" si="104"/>
        <v>0</v>
      </c>
      <c r="O378" s="158"/>
      <c r="P378" s="158"/>
      <c r="Q378" s="158"/>
      <c r="R378" s="158">
        <f t="shared" si="107"/>
        <v>64.02</v>
      </c>
      <c r="S378" s="158">
        <f t="shared" si="108"/>
        <v>64.02</v>
      </c>
      <c r="T378" s="169"/>
    </row>
    <row r="379" spans="1:20" ht="28.5" customHeight="1">
      <c r="A379" s="156">
        <v>2140403</v>
      </c>
      <c r="B379" s="157" t="s">
        <v>470</v>
      </c>
      <c r="C379" s="158"/>
      <c r="D379" s="158">
        <v>64.02</v>
      </c>
      <c r="E379" s="158">
        <f t="shared" si="98"/>
        <v>64.02</v>
      </c>
      <c r="F379" s="158"/>
      <c r="G379" s="158"/>
      <c r="H379" s="158"/>
      <c r="I379" s="158"/>
      <c r="J379" s="158">
        <f t="shared" si="103"/>
        <v>0</v>
      </c>
      <c r="K379" s="158"/>
      <c r="L379" s="158">
        <v>64.02</v>
      </c>
      <c r="M379" s="158">
        <f t="shared" si="109"/>
        <v>64.02</v>
      </c>
      <c r="N379" s="158">
        <f t="shared" si="104"/>
        <v>0</v>
      </c>
      <c r="O379" s="158"/>
      <c r="P379" s="158"/>
      <c r="Q379" s="158"/>
      <c r="R379" s="158">
        <f t="shared" si="107"/>
        <v>64.02</v>
      </c>
      <c r="S379" s="158">
        <f t="shared" si="108"/>
        <v>64.02</v>
      </c>
      <c r="T379" s="169"/>
    </row>
    <row r="380" spans="1:20" ht="28.5" customHeight="1">
      <c r="A380" s="156">
        <v>21499</v>
      </c>
      <c r="B380" s="157"/>
      <c r="C380" s="158">
        <v>0</v>
      </c>
      <c r="D380" s="158"/>
      <c r="E380" s="158">
        <f t="shared" si="98"/>
        <v>0</v>
      </c>
      <c r="F380" s="158">
        <v>18</v>
      </c>
      <c r="G380" s="158">
        <v>0</v>
      </c>
      <c r="H380" s="158">
        <v>0</v>
      </c>
      <c r="I380" s="158">
        <v>0</v>
      </c>
      <c r="J380" s="158">
        <f t="shared" si="103"/>
        <v>0</v>
      </c>
      <c r="K380" s="158">
        <v>18</v>
      </c>
      <c r="L380" s="158"/>
      <c r="M380" s="158">
        <f aca="true" t="shared" si="110" ref="M380:M382">K380+L380</f>
        <v>18</v>
      </c>
      <c r="N380" s="158">
        <v>100</v>
      </c>
      <c r="O380" s="158">
        <v>18</v>
      </c>
      <c r="P380" s="158">
        <v>0</v>
      </c>
      <c r="Q380" s="158">
        <v>18</v>
      </c>
      <c r="R380" s="158">
        <f t="shared" si="107"/>
        <v>0</v>
      </c>
      <c r="S380" s="158">
        <f t="shared" si="108"/>
        <v>18</v>
      </c>
      <c r="T380" s="169"/>
    </row>
    <row r="381" spans="1:20" ht="52.5" customHeight="1">
      <c r="A381" s="156">
        <v>2149999</v>
      </c>
      <c r="B381" s="157" t="s">
        <v>471</v>
      </c>
      <c r="C381" s="158">
        <v>0</v>
      </c>
      <c r="D381" s="158"/>
      <c r="E381" s="158">
        <f t="shared" si="98"/>
        <v>0</v>
      </c>
      <c r="F381" s="158">
        <v>18</v>
      </c>
      <c r="G381" s="158">
        <v>0</v>
      </c>
      <c r="H381" s="158">
        <v>0</v>
      </c>
      <c r="I381" s="158">
        <v>0</v>
      </c>
      <c r="J381" s="158">
        <f t="shared" si="103"/>
        <v>0</v>
      </c>
      <c r="K381" s="158">
        <v>18</v>
      </c>
      <c r="L381" s="158"/>
      <c r="M381" s="158">
        <f t="shared" si="110"/>
        <v>18</v>
      </c>
      <c r="N381" s="158">
        <v>100</v>
      </c>
      <c r="O381" s="158">
        <v>18</v>
      </c>
      <c r="P381" s="158">
        <v>0</v>
      </c>
      <c r="Q381" s="158">
        <v>18</v>
      </c>
      <c r="R381" s="158">
        <f t="shared" si="107"/>
        <v>0</v>
      </c>
      <c r="S381" s="158">
        <f t="shared" si="108"/>
        <v>18</v>
      </c>
      <c r="T381" s="169" t="s">
        <v>472</v>
      </c>
    </row>
    <row r="382" spans="1:20" ht="28.5" customHeight="1">
      <c r="A382" s="156">
        <v>215</v>
      </c>
      <c r="B382" s="157" t="s">
        <v>473</v>
      </c>
      <c r="C382" s="158">
        <f aca="true" t="shared" si="111" ref="C382:I382">C385+C388+C391</f>
        <v>2009.21</v>
      </c>
      <c r="D382" s="158">
        <f t="shared" si="111"/>
        <v>0</v>
      </c>
      <c r="E382" s="158">
        <f t="shared" si="98"/>
        <v>2009.21</v>
      </c>
      <c r="F382" s="158">
        <f t="shared" si="111"/>
        <v>29.22</v>
      </c>
      <c r="G382" s="158">
        <f t="shared" si="111"/>
        <v>0</v>
      </c>
      <c r="H382" s="158">
        <f t="shared" si="111"/>
        <v>0</v>
      </c>
      <c r="I382" s="158">
        <f t="shared" si="111"/>
        <v>9.55</v>
      </c>
      <c r="J382" s="158">
        <f t="shared" si="103"/>
        <v>8290</v>
      </c>
      <c r="K382" s="158">
        <f aca="true" t="shared" si="112" ref="K382:Q382">K385+K388+K391</f>
        <v>2047.98</v>
      </c>
      <c r="L382" s="158">
        <v>8290</v>
      </c>
      <c r="M382" s="158">
        <f t="shared" si="110"/>
        <v>10337.98</v>
      </c>
      <c r="N382" s="158">
        <f aca="true" t="shared" si="113" ref="N382:N409">(M382/E382-1)*100</f>
        <v>414.5295912323749</v>
      </c>
      <c r="O382" s="158">
        <f t="shared" si="112"/>
        <v>2047.98</v>
      </c>
      <c r="P382" s="158">
        <f t="shared" si="112"/>
        <v>183.78</v>
      </c>
      <c r="Q382" s="158">
        <f t="shared" si="112"/>
        <v>1864.2</v>
      </c>
      <c r="R382" s="158">
        <f>R385+R388+R391+R383</f>
        <v>8290</v>
      </c>
      <c r="S382" s="158">
        <f>S385+S388+S391+S383</f>
        <v>10337.980000000001</v>
      </c>
      <c r="T382" s="169"/>
    </row>
    <row r="383" spans="1:20" ht="28.5" customHeight="1">
      <c r="A383" s="156">
        <v>21502</v>
      </c>
      <c r="B383" s="157" t="s">
        <v>474</v>
      </c>
      <c r="C383" s="158"/>
      <c r="D383" s="158"/>
      <c r="E383" s="158"/>
      <c r="F383" s="158"/>
      <c r="G383" s="158"/>
      <c r="H383" s="158"/>
      <c r="I383" s="158"/>
      <c r="J383" s="158">
        <f t="shared" si="103"/>
        <v>1000</v>
      </c>
      <c r="K383" s="158"/>
      <c r="L383" s="158">
        <v>1000</v>
      </c>
      <c r="M383" s="158">
        <f t="shared" si="109"/>
        <v>1000</v>
      </c>
      <c r="N383" s="158">
        <v>100</v>
      </c>
      <c r="O383" s="158"/>
      <c r="P383" s="158"/>
      <c r="Q383" s="158"/>
      <c r="R383" s="158">
        <f aca="true" t="shared" si="114" ref="R383:R392">L383</f>
        <v>1000</v>
      </c>
      <c r="S383" s="158">
        <f aca="true" t="shared" si="115" ref="S383:S392">M383</f>
        <v>1000</v>
      </c>
      <c r="T383" s="169"/>
    </row>
    <row r="384" spans="1:20" ht="28.5" customHeight="1">
      <c r="A384" s="156">
        <v>2150299</v>
      </c>
      <c r="B384" s="157" t="s">
        <v>475</v>
      </c>
      <c r="C384" s="158"/>
      <c r="D384" s="158"/>
      <c r="E384" s="158"/>
      <c r="F384" s="158"/>
      <c r="G384" s="158"/>
      <c r="H384" s="158"/>
      <c r="I384" s="158"/>
      <c r="J384" s="158">
        <f t="shared" si="103"/>
        <v>1000</v>
      </c>
      <c r="K384" s="158"/>
      <c r="L384" s="158">
        <v>1000</v>
      </c>
      <c r="M384" s="158">
        <f t="shared" si="109"/>
        <v>1000</v>
      </c>
      <c r="N384" s="158">
        <v>100</v>
      </c>
      <c r="O384" s="158"/>
      <c r="P384" s="158"/>
      <c r="Q384" s="158"/>
      <c r="R384" s="158">
        <f t="shared" si="114"/>
        <v>1000</v>
      </c>
      <c r="S384" s="158">
        <f t="shared" si="115"/>
        <v>1000</v>
      </c>
      <c r="T384" s="169" t="s">
        <v>137</v>
      </c>
    </row>
    <row r="385" spans="1:20" ht="28.5" customHeight="1">
      <c r="A385" s="156">
        <v>21505</v>
      </c>
      <c r="B385" s="157" t="s">
        <v>476</v>
      </c>
      <c r="C385" s="158">
        <v>1727.66</v>
      </c>
      <c r="D385" s="158"/>
      <c r="E385" s="158">
        <f aca="true" t="shared" si="116" ref="E385:E409">C385+D385</f>
        <v>1727.66</v>
      </c>
      <c r="F385" s="158">
        <v>29.23</v>
      </c>
      <c r="G385" s="158">
        <v>0</v>
      </c>
      <c r="H385" s="158">
        <v>0</v>
      </c>
      <c r="I385" s="158">
        <v>9.55</v>
      </c>
      <c r="J385" s="158">
        <f t="shared" si="103"/>
        <v>7220</v>
      </c>
      <c r="K385" s="158">
        <v>1766.44</v>
      </c>
      <c r="L385" s="158">
        <v>7220</v>
      </c>
      <c r="M385" s="158">
        <f aca="true" t="shared" si="117" ref="M385:M408">K385+L385</f>
        <v>8986.44</v>
      </c>
      <c r="N385" s="158">
        <f t="shared" si="113"/>
        <v>420.1509556278435</v>
      </c>
      <c r="O385" s="158">
        <v>1766.44</v>
      </c>
      <c r="P385" s="158">
        <v>91.76</v>
      </c>
      <c r="Q385" s="158">
        <v>1674.68</v>
      </c>
      <c r="R385" s="158">
        <f t="shared" si="114"/>
        <v>7220</v>
      </c>
      <c r="S385" s="158">
        <f t="shared" si="115"/>
        <v>8986.44</v>
      </c>
      <c r="T385" s="169"/>
    </row>
    <row r="386" spans="1:20" ht="61.5" customHeight="1">
      <c r="A386" s="156">
        <v>2150501</v>
      </c>
      <c r="B386" s="157" t="s">
        <v>87</v>
      </c>
      <c r="C386" s="158">
        <v>70.66</v>
      </c>
      <c r="D386" s="158"/>
      <c r="E386" s="158">
        <f t="shared" si="116"/>
        <v>70.66</v>
      </c>
      <c r="F386" s="158">
        <v>9.23</v>
      </c>
      <c r="G386" s="158">
        <v>0</v>
      </c>
      <c r="H386" s="158">
        <v>0</v>
      </c>
      <c r="I386" s="158">
        <v>9.55</v>
      </c>
      <c r="J386" s="158">
        <f t="shared" si="103"/>
        <v>0</v>
      </c>
      <c r="K386" s="158">
        <v>89.44</v>
      </c>
      <c r="L386" s="158"/>
      <c r="M386" s="158">
        <f t="shared" si="117"/>
        <v>89.44</v>
      </c>
      <c r="N386" s="158">
        <f t="shared" si="113"/>
        <v>26.577979054627797</v>
      </c>
      <c r="O386" s="158">
        <v>89.44</v>
      </c>
      <c r="P386" s="158">
        <v>56.76</v>
      </c>
      <c r="Q386" s="158">
        <v>32.68</v>
      </c>
      <c r="R386" s="158">
        <f t="shared" si="114"/>
        <v>0</v>
      </c>
      <c r="S386" s="158">
        <f t="shared" si="115"/>
        <v>89.44</v>
      </c>
      <c r="T386" s="169" t="s">
        <v>126</v>
      </c>
    </row>
    <row r="387" spans="1:20" ht="37.5" customHeight="1">
      <c r="A387" s="156">
        <v>2150599</v>
      </c>
      <c r="B387" s="157" t="s">
        <v>477</v>
      </c>
      <c r="C387" s="158">
        <v>1657</v>
      </c>
      <c r="D387" s="158"/>
      <c r="E387" s="158">
        <f t="shared" si="116"/>
        <v>1657</v>
      </c>
      <c r="F387" s="158">
        <v>20</v>
      </c>
      <c r="G387" s="158">
        <v>0</v>
      </c>
      <c r="H387" s="158">
        <v>0</v>
      </c>
      <c r="I387" s="158">
        <v>0</v>
      </c>
      <c r="J387" s="158">
        <f t="shared" si="103"/>
        <v>7220</v>
      </c>
      <c r="K387" s="158">
        <v>1677</v>
      </c>
      <c r="L387" s="158">
        <v>7220</v>
      </c>
      <c r="M387" s="158">
        <f t="shared" si="117"/>
        <v>8897</v>
      </c>
      <c r="N387" s="158">
        <f t="shared" si="113"/>
        <v>436.93421846710925</v>
      </c>
      <c r="O387" s="158">
        <v>1677</v>
      </c>
      <c r="P387" s="158">
        <v>35</v>
      </c>
      <c r="Q387" s="158">
        <v>1642</v>
      </c>
      <c r="R387" s="158">
        <f t="shared" si="114"/>
        <v>7220</v>
      </c>
      <c r="S387" s="158">
        <f t="shared" si="115"/>
        <v>8897</v>
      </c>
      <c r="T387" s="169" t="s">
        <v>137</v>
      </c>
    </row>
    <row r="388" spans="1:20" ht="28.5" customHeight="1">
      <c r="A388" s="156">
        <v>21506</v>
      </c>
      <c r="B388" s="157" t="s">
        <v>478</v>
      </c>
      <c r="C388" s="158">
        <v>116.55</v>
      </c>
      <c r="D388" s="158"/>
      <c r="E388" s="158">
        <f t="shared" si="116"/>
        <v>116.55</v>
      </c>
      <c r="F388" s="158">
        <v>-0.01</v>
      </c>
      <c r="G388" s="158">
        <v>0</v>
      </c>
      <c r="H388" s="158">
        <v>0</v>
      </c>
      <c r="I388" s="158">
        <v>0</v>
      </c>
      <c r="J388" s="158">
        <f t="shared" si="103"/>
        <v>70</v>
      </c>
      <c r="K388" s="158">
        <v>116.54</v>
      </c>
      <c r="L388" s="158">
        <v>70</v>
      </c>
      <c r="M388" s="158">
        <f t="shared" si="117"/>
        <v>186.54000000000002</v>
      </c>
      <c r="N388" s="158">
        <f t="shared" si="113"/>
        <v>60.05148005148007</v>
      </c>
      <c r="O388" s="158">
        <v>116.54</v>
      </c>
      <c r="P388" s="158">
        <v>92.02</v>
      </c>
      <c r="Q388" s="158">
        <v>24.52</v>
      </c>
      <c r="R388" s="158">
        <f t="shared" si="114"/>
        <v>70</v>
      </c>
      <c r="S388" s="158">
        <f t="shared" si="115"/>
        <v>186.54000000000002</v>
      </c>
      <c r="T388" s="169"/>
    </row>
    <row r="389" spans="1:20" ht="28.5" customHeight="1">
      <c r="A389" s="156">
        <v>2150605</v>
      </c>
      <c r="B389" s="157" t="s">
        <v>479</v>
      </c>
      <c r="C389" s="158">
        <v>20</v>
      </c>
      <c r="D389" s="158"/>
      <c r="E389" s="158">
        <f t="shared" si="116"/>
        <v>20</v>
      </c>
      <c r="F389" s="158">
        <v>0</v>
      </c>
      <c r="G389" s="158">
        <v>0</v>
      </c>
      <c r="H389" s="158">
        <v>0</v>
      </c>
      <c r="I389" s="158">
        <v>0</v>
      </c>
      <c r="J389" s="158">
        <f t="shared" si="103"/>
        <v>0</v>
      </c>
      <c r="K389" s="158">
        <v>20</v>
      </c>
      <c r="L389" s="158"/>
      <c r="M389" s="158">
        <f t="shared" si="117"/>
        <v>20</v>
      </c>
      <c r="N389" s="158">
        <f t="shared" si="113"/>
        <v>0</v>
      </c>
      <c r="O389" s="158">
        <v>20</v>
      </c>
      <c r="P389" s="158">
        <v>20</v>
      </c>
      <c r="Q389" s="158">
        <v>0</v>
      </c>
      <c r="R389" s="158">
        <f t="shared" si="114"/>
        <v>0</v>
      </c>
      <c r="S389" s="158">
        <f t="shared" si="115"/>
        <v>20</v>
      </c>
      <c r="T389" s="169"/>
    </row>
    <row r="390" spans="1:20" ht="28.5" customHeight="1">
      <c r="A390" s="156">
        <v>2150699</v>
      </c>
      <c r="B390" s="157" t="s">
        <v>480</v>
      </c>
      <c r="C390" s="158">
        <v>96.55</v>
      </c>
      <c r="D390" s="158"/>
      <c r="E390" s="158">
        <f t="shared" si="116"/>
        <v>96.55</v>
      </c>
      <c r="F390" s="158">
        <v>-0.01</v>
      </c>
      <c r="G390" s="158">
        <v>0</v>
      </c>
      <c r="H390" s="158">
        <v>0</v>
      </c>
      <c r="I390" s="158">
        <v>0</v>
      </c>
      <c r="J390" s="158">
        <f t="shared" si="103"/>
        <v>70</v>
      </c>
      <c r="K390" s="158">
        <v>96.54</v>
      </c>
      <c r="L390" s="158">
        <v>70</v>
      </c>
      <c r="M390" s="158">
        <f t="shared" si="117"/>
        <v>166.54000000000002</v>
      </c>
      <c r="N390" s="158">
        <f t="shared" si="113"/>
        <v>72.49093733816679</v>
      </c>
      <c r="O390" s="158">
        <v>96.54</v>
      </c>
      <c r="P390" s="158">
        <v>72.02</v>
      </c>
      <c r="Q390" s="158">
        <v>24.52</v>
      </c>
      <c r="R390" s="158">
        <f t="shared" si="114"/>
        <v>70</v>
      </c>
      <c r="S390" s="158">
        <f t="shared" si="115"/>
        <v>166.54000000000002</v>
      </c>
      <c r="T390" s="169"/>
    </row>
    <row r="391" spans="1:20" ht="36.75" customHeight="1">
      <c r="A391" s="156">
        <v>21508</v>
      </c>
      <c r="B391" s="157" t="s">
        <v>481</v>
      </c>
      <c r="C391" s="158">
        <v>165</v>
      </c>
      <c r="D391" s="158"/>
      <c r="E391" s="158">
        <f t="shared" si="116"/>
        <v>165</v>
      </c>
      <c r="F391" s="158">
        <v>0</v>
      </c>
      <c r="G391" s="158">
        <v>0</v>
      </c>
      <c r="H391" s="158">
        <v>0</v>
      </c>
      <c r="I391" s="158">
        <v>0</v>
      </c>
      <c r="J391" s="158">
        <f t="shared" si="103"/>
        <v>0</v>
      </c>
      <c r="K391" s="158">
        <v>165</v>
      </c>
      <c r="L391" s="158"/>
      <c r="M391" s="158">
        <f t="shared" si="117"/>
        <v>165</v>
      </c>
      <c r="N391" s="158">
        <f t="shared" si="113"/>
        <v>0</v>
      </c>
      <c r="O391" s="158">
        <v>165</v>
      </c>
      <c r="P391" s="158">
        <v>0</v>
      </c>
      <c r="Q391" s="158">
        <v>165</v>
      </c>
      <c r="R391" s="158">
        <f t="shared" si="114"/>
        <v>0</v>
      </c>
      <c r="S391" s="158">
        <f t="shared" si="115"/>
        <v>165</v>
      </c>
      <c r="T391" s="169"/>
    </row>
    <row r="392" spans="1:20" ht="28.5" customHeight="1">
      <c r="A392" s="156">
        <v>2150805</v>
      </c>
      <c r="B392" s="157" t="s">
        <v>482</v>
      </c>
      <c r="C392" s="158">
        <v>165</v>
      </c>
      <c r="D392" s="158"/>
      <c r="E392" s="158">
        <f t="shared" si="116"/>
        <v>165</v>
      </c>
      <c r="F392" s="158">
        <v>0</v>
      </c>
      <c r="G392" s="158">
        <v>0</v>
      </c>
      <c r="H392" s="158">
        <v>0</v>
      </c>
      <c r="I392" s="158">
        <v>0</v>
      </c>
      <c r="J392" s="158">
        <f t="shared" si="103"/>
        <v>0</v>
      </c>
      <c r="K392" s="158">
        <v>165</v>
      </c>
      <c r="L392" s="158"/>
      <c r="M392" s="158">
        <f t="shared" si="117"/>
        <v>165</v>
      </c>
      <c r="N392" s="158">
        <f t="shared" si="113"/>
        <v>0</v>
      </c>
      <c r="O392" s="158">
        <v>165</v>
      </c>
      <c r="P392" s="158">
        <v>0</v>
      </c>
      <c r="Q392" s="158">
        <v>165</v>
      </c>
      <c r="R392" s="158">
        <f t="shared" si="114"/>
        <v>0</v>
      </c>
      <c r="S392" s="158">
        <f t="shared" si="115"/>
        <v>165</v>
      </c>
      <c r="T392" s="169"/>
    </row>
    <row r="393" spans="1:20" ht="28.5" customHeight="1">
      <c r="A393" s="156">
        <v>216</v>
      </c>
      <c r="B393" s="157" t="s">
        <v>483</v>
      </c>
      <c r="C393" s="158">
        <f aca="true" t="shared" si="118" ref="C393:I393">C394+C396+C399+C401</f>
        <v>606.5</v>
      </c>
      <c r="D393" s="158">
        <f t="shared" si="118"/>
        <v>375</v>
      </c>
      <c r="E393" s="158">
        <f t="shared" si="116"/>
        <v>981.5</v>
      </c>
      <c r="F393" s="158">
        <f t="shared" si="118"/>
        <v>103.57000000000001</v>
      </c>
      <c r="G393" s="158">
        <f t="shared" si="118"/>
        <v>0</v>
      </c>
      <c r="H393" s="158">
        <f t="shared" si="118"/>
        <v>-20.58</v>
      </c>
      <c r="I393" s="158">
        <f t="shared" si="118"/>
        <v>23.93</v>
      </c>
      <c r="J393" s="158">
        <f t="shared" si="103"/>
        <v>472.02</v>
      </c>
      <c r="K393" s="158">
        <f aca="true" t="shared" si="119" ref="K393:S393">K394+K396+K399+K401</f>
        <v>713.4200000000001</v>
      </c>
      <c r="L393" s="158">
        <v>847.02</v>
      </c>
      <c r="M393" s="158">
        <f t="shared" si="117"/>
        <v>1560.44</v>
      </c>
      <c r="N393" s="158">
        <f t="shared" si="113"/>
        <v>58.98522669383597</v>
      </c>
      <c r="O393" s="158">
        <f t="shared" si="119"/>
        <v>713.4200000000001</v>
      </c>
      <c r="P393" s="158">
        <f t="shared" si="119"/>
        <v>220.97</v>
      </c>
      <c r="Q393" s="158">
        <f t="shared" si="119"/>
        <v>492.45</v>
      </c>
      <c r="R393" s="158">
        <f t="shared" si="119"/>
        <v>847.02</v>
      </c>
      <c r="S393" s="158">
        <f t="shared" si="119"/>
        <v>1560.44</v>
      </c>
      <c r="T393" s="169"/>
    </row>
    <row r="394" spans="1:20" ht="28.5" customHeight="1">
      <c r="A394" s="156">
        <v>21602</v>
      </c>
      <c r="B394" s="157" t="s">
        <v>484</v>
      </c>
      <c r="C394" s="158">
        <v>97.89</v>
      </c>
      <c r="D394" s="158"/>
      <c r="E394" s="158">
        <f t="shared" si="116"/>
        <v>97.89</v>
      </c>
      <c r="F394" s="158">
        <v>-15.52</v>
      </c>
      <c r="G394" s="158">
        <v>0</v>
      </c>
      <c r="H394" s="158">
        <v>-9.74</v>
      </c>
      <c r="I394" s="158">
        <v>14.06</v>
      </c>
      <c r="J394" s="158">
        <f t="shared" si="103"/>
        <v>0</v>
      </c>
      <c r="K394" s="158">
        <v>86.69</v>
      </c>
      <c r="L394" s="158"/>
      <c r="M394" s="158">
        <f t="shared" si="117"/>
        <v>86.69</v>
      </c>
      <c r="N394" s="158">
        <f t="shared" si="113"/>
        <v>-11.441413831852076</v>
      </c>
      <c r="O394" s="158">
        <v>86.69</v>
      </c>
      <c r="P394" s="158">
        <v>61.06</v>
      </c>
      <c r="Q394" s="158">
        <v>25.63</v>
      </c>
      <c r="R394" s="158">
        <f aca="true" t="shared" si="120" ref="R394:R402">L394</f>
        <v>0</v>
      </c>
      <c r="S394" s="158">
        <f aca="true" t="shared" si="121" ref="S394:S402">M394</f>
        <v>86.69</v>
      </c>
      <c r="T394" s="169"/>
    </row>
    <row r="395" spans="1:20" ht="66.75" customHeight="1">
      <c r="A395" s="156">
        <v>2160299</v>
      </c>
      <c r="B395" s="157" t="s">
        <v>485</v>
      </c>
      <c r="C395" s="158">
        <v>97.89</v>
      </c>
      <c r="D395" s="158"/>
      <c r="E395" s="158">
        <f t="shared" si="116"/>
        <v>97.89</v>
      </c>
      <c r="F395" s="158">
        <v>-15.52</v>
      </c>
      <c r="G395" s="158">
        <v>0</v>
      </c>
      <c r="H395" s="158">
        <v>-9.74</v>
      </c>
      <c r="I395" s="158">
        <v>14.06</v>
      </c>
      <c r="J395" s="158">
        <f t="shared" si="103"/>
        <v>0</v>
      </c>
      <c r="K395" s="158">
        <v>86.69</v>
      </c>
      <c r="L395" s="158"/>
      <c r="M395" s="158">
        <f t="shared" si="117"/>
        <v>86.69</v>
      </c>
      <c r="N395" s="158">
        <f t="shared" si="113"/>
        <v>-11.441413831852076</v>
      </c>
      <c r="O395" s="158">
        <v>86.69</v>
      </c>
      <c r="P395" s="158">
        <v>61.06</v>
      </c>
      <c r="Q395" s="158">
        <v>25.63</v>
      </c>
      <c r="R395" s="158">
        <f t="shared" si="120"/>
        <v>0</v>
      </c>
      <c r="S395" s="158">
        <f t="shared" si="121"/>
        <v>86.69</v>
      </c>
      <c r="T395" s="169" t="s">
        <v>103</v>
      </c>
    </row>
    <row r="396" spans="1:20" ht="28.5" customHeight="1">
      <c r="A396" s="156">
        <v>21605</v>
      </c>
      <c r="B396" s="157" t="s">
        <v>486</v>
      </c>
      <c r="C396" s="158">
        <v>287.16</v>
      </c>
      <c r="D396" s="158"/>
      <c r="E396" s="158">
        <f t="shared" si="116"/>
        <v>287.16</v>
      </c>
      <c r="F396" s="158">
        <v>-90.91</v>
      </c>
      <c r="G396" s="158">
        <v>0</v>
      </c>
      <c r="H396" s="158">
        <v>0</v>
      </c>
      <c r="I396" s="158">
        <v>9.87</v>
      </c>
      <c r="J396" s="158">
        <f t="shared" si="103"/>
        <v>0</v>
      </c>
      <c r="K396" s="158">
        <v>206.12</v>
      </c>
      <c r="L396" s="158"/>
      <c r="M396" s="158">
        <f t="shared" si="117"/>
        <v>206.12</v>
      </c>
      <c r="N396" s="158">
        <f t="shared" si="113"/>
        <v>-28.22120072433487</v>
      </c>
      <c r="O396" s="158">
        <v>206.12</v>
      </c>
      <c r="P396" s="158">
        <v>65.86</v>
      </c>
      <c r="Q396" s="158">
        <v>140.26</v>
      </c>
      <c r="R396" s="158">
        <f t="shared" si="120"/>
        <v>0</v>
      </c>
      <c r="S396" s="158">
        <f t="shared" si="121"/>
        <v>206.12</v>
      </c>
      <c r="T396" s="169"/>
    </row>
    <row r="397" spans="1:20" ht="28.5" customHeight="1">
      <c r="A397" s="156">
        <v>2160504</v>
      </c>
      <c r="B397" s="157" t="s">
        <v>487</v>
      </c>
      <c r="C397" s="158">
        <v>6</v>
      </c>
      <c r="D397" s="158"/>
      <c r="E397" s="158">
        <f t="shared" si="116"/>
        <v>6</v>
      </c>
      <c r="F397" s="158">
        <v>0</v>
      </c>
      <c r="G397" s="158">
        <v>0</v>
      </c>
      <c r="H397" s="158">
        <v>0</v>
      </c>
      <c r="I397" s="158">
        <v>0</v>
      </c>
      <c r="J397" s="158">
        <f t="shared" si="103"/>
        <v>0</v>
      </c>
      <c r="K397" s="158">
        <v>6</v>
      </c>
      <c r="L397" s="158"/>
      <c r="M397" s="158">
        <f t="shared" si="117"/>
        <v>6</v>
      </c>
      <c r="N397" s="158">
        <f t="shared" si="113"/>
        <v>0</v>
      </c>
      <c r="O397" s="158">
        <v>6</v>
      </c>
      <c r="P397" s="158">
        <v>0</v>
      </c>
      <c r="Q397" s="158">
        <v>6</v>
      </c>
      <c r="R397" s="158">
        <f t="shared" si="120"/>
        <v>0</v>
      </c>
      <c r="S397" s="158">
        <f t="shared" si="121"/>
        <v>6</v>
      </c>
      <c r="T397" s="169"/>
    </row>
    <row r="398" spans="1:20" ht="64.5" customHeight="1">
      <c r="A398" s="156">
        <v>2160599</v>
      </c>
      <c r="B398" s="157" t="s">
        <v>488</v>
      </c>
      <c r="C398" s="158">
        <v>281.16</v>
      </c>
      <c r="D398" s="158"/>
      <c r="E398" s="158">
        <f t="shared" si="116"/>
        <v>281.16</v>
      </c>
      <c r="F398" s="158">
        <v>-90.91</v>
      </c>
      <c r="G398" s="158">
        <v>0</v>
      </c>
      <c r="H398" s="158">
        <v>0</v>
      </c>
      <c r="I398" s="158">
        <v>9.87</v>
      </c>
      <c r="J398" s="158">
        <f t="shared" si="103"/>
        <v>0</v>
      </c>
      <c r="K398" s="158">
        <v>200.12</v>
      </c>
      <c r="L398" s="158"/>
      <c r="M398" s="158">
        <f t="shared" si="117"/>
        <v>200.12</v>
      </c>
      <c r="N398" s="158">
        <f t="shared" si="113"/>
        <v>-28.82344572485418</v>
      </c>
      <c r="O398" s="158">
        <v>200.12</v>
      </c>
      <c r="P398" s="158">
        <v>65.86</v>
      </c>
      <c r="Q398" s="158">
        <v>134.26</v>
      </c>
      <c r="R398" s="158">
        <f t="shared" si="120"/>
        <v>0</v>
      </c>
      <c r="S398" s="158">
        <f t="shared" si="121"/>
        <v>200.12</v>
      </c>
      <c r="T398" s="169" t="s">
        <v>103</v>
      </c>
    </row>
    <row r="399" spans="1:20" ht="28.5" customHeight="1">
      <c r="A399" s="156">
        <v>21606</v>
      </c>
      <c r="B399" s="157" t="s">
        <v>489</v>
      </c>
      <c r="C399" s="158">
        <v>211.45</v>
      </c>
      <c r="D399" s="158">
        <v>80</v>
      </c>
      <c r="E399" s="158">
        <f t="shared" si="116"/>
        <v>291.45</v>
      </c>
      <c r="F399" s="158">
        <v>0</v>
      </c>
      <c r="G399" s="158">
        <v>0</v>
      </c>
      <c r="H399" s="158">
        <v>-10.84</v>
      </c>
      <c r="I399" s="158">
        <v>0</v>
      </c>
      <c r="J399" s="158">
        <f t="shared" si="103"/>
        <v>40.02000000000001</v>
      </c>
      <c r="K399" s="158">
        <v>200.61</v>
      </c>
      <c r="L399" s="158">
        <v>120.02000000000001</v>
      </c>
      <c r="M399" s="158">
        <f t="shared" si="117"/>
        <v>320.63</v>
      </c>
      <c r="N399" s="158">
        <f t="shared" si="113"/>
        <v>10.012008920912674</v>
      </c>
      <c r="O399" s="158">
        <v>200.61</v>
      </c>
      <c r="P399" s="158">
        <v>84.05</v>
      </c>
      <c r="Q399" s="158">
        <v>116.56</v>
      </c>
      <c r="R399" s="158">
        <f t="shared" si="120"/>
        <v>120.02000000000001</v>
      </c>
      <c r="S399" s="158">
        <f t="shared" si="121"/>
        <v>320.63</v>
      </c>
      <c r="T399" s="169"/>
    </row>
    <row r="400" spans="1:20" ht="42" customHeight="1">
      <c r="A400" s="156">
        <v>2160699</v>
      </c>
      <c r="B400" s="157" t="s">
        <v>490</v>
      </c>
      <c r="C400" s="158">
        <v>211.45</v>
      </c>
      <c r="D400" s="158">
        <v>80</v>
      </c>
      <c r="E400" s="158">
        <f t="shared" si="116"/>
        <v>291.45</v>
      </c>
      <c r="F400" s="158">
        <v>0</v>
      </c>
      <c r="G400" s="158">
        <v>0</v>
      </c>
      <c r="H400" s="158">
        <v>-10.84</v>
      </c>
      <c r="I400" s="158">
        <v>0</v>
      </c>
      <c r="J400" s="158">
        <f t="shared" si="103"/>
        <v>40.02000000000001</v>
      </c>
      <c r="K400" s="158">
        <v>200.61</v>
      </c>
      <c r="L400" s="158">
        <v>120.02000000000001</v>
      </c>
      <c r="M400" s="158">
        <f t="shared" si="117"/>
        <v>320.63</v>
      </c>
      <c r="N400" s="158">
        <f t="shared" si="113"/>
        <v>10.012008920912674</v>
      </c>
      <c r="O400" s="158">
        <v>200.61</v>
      </c>
      <c r="P400" s="158">
        <v>84.05</v>
      </c>
      <c r="Q400" s="158">
        <v>116.56</v>
      </c>
      <c r="R400" s="158">
        <f t="shared" si="120"/>
        <v>120.02000000000001</v>
      </c>
      <c r="S400" s="158">
        <f t="shared" si="121"/>
        <v>320.63</v>
      </c>
      <c r="T400" s="169" t="s">
        <v>491</v>
      </c>
    </row>
    <row r="401" spans="1:20" ht="28.5" customHeight="1">
      <c r="A401" s="156">
        <v>21699</v>
      </c>
      <c r="B401" s="157" t="s">
        <v>492</v>
      </c>
      <c r="C401" s="158">
        <v>10</v>
      </c>
      <c r="D401" s="158">
        <v>295</v>
      </c>
      <c r="E401" s="158">
        <f t="shared" si="116"/>
        <v>305</v>
      </c>
      <c r="F401" s="158">
        <v>210</v>
      </c>
      <c r="G401" s="158">
        <v>0</v>
      </c>
      <c r="H401" s="158">
        <v>0</v>
      </c>
      <c r="I401" s="158">
        <v>0</v>
      </c>
      <c r="J401" s="158">
        <f t="shared" si="103"/>
        <v>432</v>
      </c>
      <c r="K401" s="158">
        <v>220</v>
      </c>
      <c r="L401" s="158">
        <v>727</v>
      </c>
      <c r="M401" s="158">
        <f t="shared" si="117"/>
        <v>947</v>
      </c>
      <c r="N401" s="158">
        <f t="shared" si="113"/>
        <v>210.49180327868854</v>
      </c>
      <c r="O401" s="158">
        <v>220</v>
      </c>
      <c r="P401" s="158">
        <v>10</v>
      </c>
      <c r="Q401" s="158">
        <v>210</v>
      </c>
      <c r="R401" s="158">
        <f t="shared" si="120"/>
        <v>727</v>
      </c>
      <c r="S401" s="158">
        <f t="shared" si="121"/>
        <v>947</v>
      </c>
      <c r="T401" s="169"/>
    </row>
    <row r="402" spans="1:20" ht="45.75" customHeight="1">
      <c r="A402" s="156">
        <v>2169999</v>
      </c>
      <c r="B402" s="157" t="s">
        <v>492</v>
      </c>
      <c r="C402" s="158">
        <v>10</v>
      </c>
      <c r="D402" s="158">
        <v>295</v>
      </c>
      <c r="E402" s="158">
        <f t="shared" si="116"/>
        <v>305</v>
      </c>
      <c r="F402" s="158">
        <v>210</v>
      </c>
      <c r="G402" s="158">
        <v>0</v>
      </c>
      <c r="H402" s="158">
        <v>0</v>
      </c>
      <c r="I402" s="158">
        <v>0</v>
      </c>
      <c r="J402" s="158">
        <f t="shared" si="103"/>
        <v>432</v>
      </c>
      <c r="K402" s="158">
        <v>220</v>
      </c>
      <c r="L402" s="158">
        <v>727</v>
      </c>
      <c r="M402" s="158">
        <f t="shared" si="117"/>
        <v>947</v>
      </c>
      <c r="N402" s="158">
        <f t="shared" si="113"/>
        <v>210.49180327868854</v>
      </c>
      <c r="O402" s="158">
        <v>220</v>
      </c>
      <c r="P402" s="158">
        <v>10</v>
      </c>
      <c r="Q402" s="158">
        <v>210</v>
      </c>
      <c r="R402" s="158">
        <f t="shared" si="120"/>
        <v>727</v>
      </c>
      <c r="S402" s="158">
        <f t="shared" si="121"/>
        <v>947</v>
      </c>
      <c r="T402" s="169" t="s">
        <v>493</v>
      </c>
    </row>
    <row r="403" spans="1:20" ht="28.5" customHeight="1">
      <c r="A403" s="156">
        <v>217</v>
      </c>
      <c r="B403" s="157" t="s">
        <v>494</v>
      </c>
      <c r="C403" s="158">
        <f aca="true" t="shared" si="122" ref="C403:I403">C404</f>
        <v>5</v>
      </c>
      <c r="D403" s="158">
        <f t="shared" si="122"/>
        <v>0</v>
      </c>
      <c r="E403" s="158">
        <f t="shared" si="116"/>
        <v>5</v>
      </c>
      <c r="F403" s="158">
        <f t="shared" si="122"/>
        <v>0</v>
      </c>
      <c r="G403" s="158">
        <f t="shared" si="122"/>
        <v>0</v>
      </c>
      <c r="H403" s="158">
        <f t="shared" si="122"/>
        <v>0</v>
      </c>
      <c r="I403" s="158">
        <f t="shared" si="122"/>
        <v>0</v>
      </c>
      <c r="J403" s="158">
        <f t="shared" si="103"/>
        <v>5</v>
      </c>
      <c r="K403" s="158">
        <f aca="true" t="shared" si="123" ref="K403:S403">K404</f>
        <v>5</v>
      </c>
      <c r="L403" s="158">
        <v>5</v>
      </c>
      <c r="M403" s="158">
        <f t="shared" si="117"/>
        <v>10</v>
      </c>
      <c r="N403" s="158">
        <f t="shared" si="113"/>
        <v>100</v>
      </c>
      <c r="O403" s="158">
        <f t="shared" si="123"/>
        <v>5</v>
      </c>
      <c r="P403" s="158">
        <f t="shared" si="123"/>
        <v>5</v>
      </c>
      <c r="Q403" s="158">
        <f t="shared" si="123"/>
        <v>0</v>
      </c>
      <c r="R403" s="158">
        <f t="shared" si="123"/>
        <v>5</v>
      </c>
      <c r="S403" s="158">
        <f t="shared" si="123"/>
        <v>10</v>
      </c>
      <c r="T403" s="169"/>
    </row>
    <row r="404" spans="1:20" ht="28.5" customHeight="1">
      <c r="A404" s="156">
        <v>21799</v>
      </c>
      <c r="B404" s="157" t="s">
        <v>495</v>
      </c>
      <c r="C404" s="158">
        <v>5</v>
      </c>
      <c r="D404" s="158"/>
      <c r="E404" s="158">
        <f t="shared" si="116"/>
        <v>5</v>
      </c>
      <c r="F404" s="158">
        <v>0</v>
      </c>
      <c r="G404" s="158">
        <v>0</v>
      </c>
      <c r="H404" s="158">
        <v>0</v>
      </c>
      <c r="I404" s="158">
        <v>0</v>
      </c>
      <c r="J404" s="158">
        <f t="shared" si="103"/>
        <v>5</v>
      </c>
      <c r="K404" s="158">
        <v>5</v>
      </c>
      <c r="L404" s="158">
        <v>5</v>
      </c>
      <c r="M404" s="158">
        <f t="shared" si="117"/>
        <v>10</v>
      </c>
      <c r="N404" s="158">
        <f t="shared" si="113"/>
        <v>100</v>
      </c>
      <c r="O404" s="158">
        <v>5</v>
      </c>
      <c r="P404" s="158">
        <v>5</v>
      </c>
      <c r="Q404" s="158">
        <v>0</v>
      </c>
      <c r="R404" s="158">
        <f aca="true" t="shared" si="124" ref="R404:R418">L404</f>
        <v>5</v>
      </c>
      <c r="S404" s="158">
        <f aca="true" t="shared" si="125" ref="S404:S418">M404</f>
        <v>10</v>
      </c>
      <c r="T404" s="169"/>
    </row>
    <row r="405" spans="1:20" ht="28.5" customHeight="1">
      <c r="A405" s="156">
        <v>2179901</v>
      </c>
      <c r="B405" s="157" t="s">
        <v>495</v>
      </c>
      <c r="C405" s="158">
        <v>5</v>
      </c>
      <c r="D405" s="158"/>
      <c r="E405" s="158">
        <f t="shared" si="116"/>
        <v>5</v>
      </c>
      <c r="F405" s="158">
        <v>0</v>
      </c>
      <c r="G405" s="158">
        <v>0</v>
      </c>
      <c r="H405" s="158">
        <v>0</v>
      </c>
      <c r="I405" s="158">
        <v>0</v>
      </c>
      <c r="J405" s="158">
        <f t="shared" si="103"/>
        <v>5</v>
      </c>
      <c r="K405" s="158">
        <v>5</v>
      </c>
      <c r="L405" s="158">
        <v>5</v>
      </c>
      <c r="M405" s="158">
        <f t="shared" si="117"/>
        <v>10</v>
      </c>
      <c r="N405" s="158">
        <f t="shared" si="113"/>
        <v>100</v>
      </c>
      <c r="O405" s="158">
        <v>5</v>
      </c>
      <c r="P405" s="158">
        <v>5</v>
      </c>
      <c r="Q405" s="158">
        <v>0</v>
      </c>
      <c r="R405" s="158">
        <f t="shared" si="124"/>
        <v>5</v>
      </c>
      <c r="S405" s="158">
        <f t="shared" si="125"/>
        <v>10</v>
      </c>
      <c r="T405" s="169" t="s">
        <v>137</v>
      </c>
    </row>
    <row r="406" spans="1:20" ht="28.5" customHeight="1">
      <c r="A406" s="156">
        <v>220</v>
      </c>
      <c r="B406" s="157" t="s">
        <v>496</v>
      </c>
      <c r="C406" s="158">
        <f aca="true" t="shared" si="126" ref="C406:I406">C407+C413+C417</f>
        <v>904.4300000000001</v>
      </c>
      <c r="D406" s="158">
        <f t="shared" si="126"/>
        <v>512.04</v>
      </c>
      <c r="E406" s="158">
        <f t="shared" si="116"/>
        <v>1416.47</v>
      </c>
      <c r="F406" s="158">
        <f t="shared" si="126"/>
        <v>138.57999999999998</v>
      </c>
      <c r="G406" s="158">
        <f t="shared" si="126"/>
        <v>0</v>
      </c>
      <c r="H406" s="158">
        <f t="shared" si="126"/>
        <v>0</v>
      </c>
      <c r="I406" s="158">
        <f t="shared" si="126"/>
        <v>98.11</v>
      </c>
      <c r="J406" s="158">
        <f t="shared" si="103"/>
        <v>37.25999999999999</v>
      </c>
      <c r="K406" s="158">
        <f aca="true" t="shared" si="127" ref="K406:S406">K407+K413+K417</f>
        <v>1141.12</v>
      </c>
      <c r="L406" s="158">
        <v>549.3</v>
      </c>
      <c r="M406" s="158">
        <f t="shared" si="117"/>
        <v>1690.4199999999998</v>
      </c>
      <c r="N406" s="158">
        <f t="shared" si="113"/>
        <v>19.340331951965073</v>
      </c>
      <c r="O406" s="158">
        <f t="shared" si="127"/>
        <v>1141.12</v>
      </c>
      <c r="P406" s="158">
        <f t="shared" si="127"/>
        <v>503.43</v>
      </c>
      <c r="Q406" s="158">
        <f t="shared" si="127"/>
        <v>637.69</v>
      </c>
      <c r="R406" s="158">
        <f t="shared" si="127"/>
        <v>549.3</v>
      </c>
      <c r="S406" s="158">
        <f t="shared" si="127"/>
        <v>1690.42</v>
      </c>
      <c r="T406" s="169"/>
    </row>
    <row r="407" spans="1:20" ht="28.5" customHeight="1">
      <c r="A407" s="156">
        <v>22001</v>
      </c>
      <c r="B407" s="157" t="s">
        <v>497</v>
      </c>
      <c r="C407" s="158">
        <v>724.63</v>
      </c>
      <c r="D407" s="158">
        <v>35.04</v>
      </c>
      <c r="E407" s="158">
        <f t="shared" si="116"/>
        <v>759.67</v>
      </c>
      <c r="F407" s="158">
        <v>13.28</v>
      </c>
      <c r="G407" s="158">
        <v>0</v>
      </c>
      <c r="H407" s="158">
        <v>0</v>
      </c>
      <c r="I407" s="158">
        <v>98.11</v>
      </c>
      <c r="J407" s="158">
        <f t="shared" si="103"/>
        <v>37.26</v>
      </c>
      <c r="K407" s="158">
        <v>836.02</v>
      </c>
      <c r="L407" s="158">
        <v>72.3</v>
      </c>
      <c r="M407" s="158">
        <f t="shared" si="117"/>
        <v>908.3199999999999</v>
      </c>
      <c r="N407" s="158">
        <f t="shared" si="113"/>
        <v>19.567707030684378</v>
      </c>
      <c r="O407" s="158">
        <v>836.02</v>
      </c>
      <c r="P407" s="158">
        <v>482.43</v>
      </c>
      <c r="Q407" s="158">
        <v>353.59</v>
      </c>
      <c r="R407" s="158">
        <f t="shared" si="124"/>
        <v>72.3</v>
      </c>
      <c r="S407" s="158">
        <f t="shared" si="125"/>
        <v>908.3199999999999</v>
      </c>
      <c r="T407" s="169"/>
    </row>
    <row r="408" spans="1:20" ht="51.75" customHeight="1">
      <c r="A408" s="156">
        <v>2200101</v>
      </c>
      <c r="B408" s="157" t="s">
        <v>87</v>
      </c>
      <c r="C408" s="158">
        <v>308.22</v>
      </c>
      <c r="D408" s="158"/>
      <c r="E408" s="158">
        <f t="shared" si="116"/>
        <v>308.22</v>
      </c>
      <c r="F408" s="158">
        <v>-0.72</v>
      </c>
      <c r="G408" s="158">
        <v>0</v>
      </c>
      <c r="H408" s="158">
        <v>0</v>
      </c>
      <c r="I408" s="158">
        <v>79.34</v>
      </c>
      <c r="J408" s="158">
        <f t="shared" si="103"/>
        <v>0</v>
      </c>
      <c r="K408" s="158">
        <v>386.84</v>
      </c>
      <c r="L408" s="158"/>
      <c r="M408" s="158">
        <f t="shared" si="117"/>
        <v>386.84</v>
      </c>
      <c r="N408" s="158">
        <f t="shared" si="113"/>
        <v>25.50775420154434</v>
      </c>
      <c r="O408" s="158">
        <v>386.84</v>
      </c>
      <c r="P408" s="158">
        <v>251.75</v>
      </c>
      <c r="Q408" s="158">
        <v>135.09</v>
      </c>
      <c r="R408" s="158">
        <f t="shared" si="124"/>
        <v>0</v>
      </c>
      <c r="S408" s="158">
        <f t="shared" si="125"/>
        <v>386.84</v>
      </c>
      <c r="T408" s="169" t="s">
        <v>88</v>
      </c>
    </row>
    <row r="409" spans="1:20" ht="28.5" customHeight="1">
      <c r="A409" s="156">
        <v>2200110</v>
      </c>
      <c r="B409" s="157" t="s">
        <v>498</v>
      </c>
      <c r="C409" s="158"/>
      <c r="D409" s="158">
        <v>35.04</v>
      </c>
      <c r="E409" s="158">
        <f t="shared" si="116"/>
        <v>35.04</v>
      </c>
      <c r="F409" s="158"/>
      <c r="G409" s="158"/>
      <c r="H409" s="158"/>
      <c r="I409" s="158"/>
      <c r="J409" s="158">
        <f t="shared" si="103"/>
        <v>-1.3500000000000014</v>
      </c>
      <c r="K409" s="158"/>
      <c r="L409" s="158">
        <v>33.69</v>
      </c>
      <c r="M409" s="158">
        <f>L409+K409</f>
        <v>33.69</v>
      </c>
      <c r="N409" s="158">
        <f t="shared" si="113"/>
        <v>-3.852739726027399</v>
      </c>
      <c r="O409" s="158"/>
      <c r="P409" s="158"/>
      <c r="Q409" s="158"/>
      <c r="R409" s="158">
        <f t="shared" si="124"/>
        <v>33.69</v>
      </c>
      <c r="S409" s="158">
        <f t="shared" si="125"/>
        <v>33.69</v>
      </c>
      <c r="T409" s="169"/>
    </row>
    <row r="410" spans="1:20" ht="28.5" customHeight="1">
      <c r="A410" s="156">
        <v>2200111</v>
      </c>
      <c r="B410" s="157" t="s">
        <v>499</v>
      </c>
      <c r="C410" s="158"/>
      <c r="D410" s="158"/>
      <c r="E410" s="158"/>
      <c r="F410" s="158"/>
      <c r="G410" s="158"/>
      <c r="H410" s="158"/>
      <c r="I410" s="158"/>
      <c r="J410" s="158">
        <f t="shared" si="103"/>
        <v>35.57</v>
      </c>
      <c r="K410" s="158"/>
      <c r="L410" s="158">
        <v>35.57</v>
      </c>
      <c r="M410" s="158">
        <f>L410+K410</f>
        <v>35.57</v>
      </c>
      <c r="N410" s="158">
        <v>100</v>
      </c>
      <c r="O410" s="158"/>
      <c r="P410" s="158"/>
      <c r="Q410" s="158"/>
      <c r="R410" s="158">
        <f t="shared" si="124"/>
        <v>35.57</v>
      </c>
      <c r="S410" s="158">
        <f t="shared" si="125"/>
        <v>35.57</v>
      </c>
      <c r="T410" s="169" t="s">
        <v>137</v>
      </c>
    </row>
    <row r="411" spans="1:20" ht="37.5" customHeight="1">
      <c r="A411" s="156">
        <v>2200114</v>
      </c>
      <c r="B411" s="157" t="s">
        <v>500</v>
      </c>
      <c r="C411" s="158">
        <v>0</v>
      </c>
      <c r="D411" s="158"/>
      <c r="E411" s="158">
        <f aca="true" t="shared" si="128" ref="E411:E448">C411+D411</f>
        <v>0</v>
      </c>
      <c r="F411" s="158">
        <v>27</v>
      </c>
      <c r="G411" s="158">
        <v>0</v>
      </c>
      <c r="H411" s="158">
        <v>0</v>
      </c>
      <c r="I411" s="158">
        <v>0</v>
      </c>
      <c r="J411" s="158">
        <f t="shared" si="103"/>
        <v>0</v>
      </c>
      <c r="K411" s="158">
        <v>27</v>
      </c>
      <c r="L411" s="158"/>
      <c r="M411" s="158">
        <f aca="true" t="shared" si="129" ref="M411:M448">K411+L411</f>
        <v>27</v>
      </c>
      <c r="N411" s="158">
        <v>100</v>
      </c>
      <c r="O411" s="158">
        <v>27</v>
      </c>
      <c r="P411" s="158">
        <v>0</v>
      </c>
      <c r="Q411" s="158">
        <v>27</v>
      </c>
      <c r="R411" s="158">
        <f t="shared" si="124"/>
        <v>0</v>
      </c>
      <c r="S411" s="158">
        <f t="shared" si="125"/>
        <v>27</v>
      </c>
      <c r="T411" s="169" t="s">
        <v>501</v>
      </c>
    </row>
    <row r="412" spans="1:20" ht="69.75" customHeight="1">
      <c r="A412" s="156">
        <v>2200199</v>
      </c>
      <c r="B412" s="157" t="s">
        <v>502</v>
      </c>
      <c r="C412" s="158">
        <v>416.41</v>
      </c>
      <c r="D412" s="158"/>
      <c r="E412" s="158">
        <f t="shared" si="128"/>
        <v>416.41</v>
      </c>
      <c r="F412" s="158">
        <v>-13</v>
      </c>
      <c r="G412" s="158">
        <v>0</v>
      </c>
      <c r="H412" s="158">
        <v>0</v>
      </c>
      <c r="I412" s="158">
        <v>18.77</v>
      </c>
      <c r="J412" s="158">
        <f t="shared" si="103"/>
        <v>3.04</v>
      </c>
      <c r="K412" s="158">
        <v>422.18</v>
      </c>
      <c r="L412" s="158">
        <v>3.04</v>
      </c>
      <c r="M412" s="158">
        <f t="shared" si="129"/>
        <v>425.22</v>
      </c>
      <c r="N412" s="158">
        <f aca="true" t="shared" si="130" ref="N412:N420">(M412/E412-1)*100</f>
        <v>2.1157032732163072</v>
      </c>
      <c r="O412" s="158">
        <v>422.18</v>
      </c>
      <c r="P412" s="158">
        <v>230.68</v>
      </c>
      <c r="Q412" s="158">
        <v>191.5</v>
      </c>
      <c r="R412" s="158">
        <f t="shared" si="124"/>
        <v>3.04</v>
      </c>
      <c r="S412" s="158">
        <f t="shared" si="125"/>
        <v>425.22</v>
      </c>
      <c r="T412" s="169" t="s">
        <v>103</v>
      </c>
    </row>
    <row r="413" spans="1:20" ht="28.5" customHeight="1">
      <c r="A413" s="156">
        <v>22002</v>
      </c>
      <c r="B413" s="157" t="s">
        <v>503</v>
      </c>
      <c r="C413" s="158">
        <v>177.8</v>
      </c>
      <c r="D413" s="158">
        <v>477</v>
      </c>
      <c r="E413" s="158">
        <f t="shared" si="128"/>
        <v>654.8</v>
      </c>
      <c r="F413" s="158">
        <v>125.3</v>
      </c>
      <c r="G413" s="158">
        <v>0</v>
      </c>
      <c r="H413" s="158">
        <v>0</v>
      </c>
      <c r="I413" s="158">
        <v>0</v>
      </c>
      <c r="J413" s="158">
        <f t="shared" si="103"/>
        <v>0</v>
      </c>
      <c r="K413" s="158">
        <v>303.1</v>
      </c>
      <c r="L413" s="158">
        <v>477</v>
      </c>
      <c r="M413" s="158">
        <f t="shared" si="129"/>
        <v>780.1</v>
      </c>
      <c r="N413" s="158">
        <f t="shared" si="130"/>
        <v>19.13561392791694</v>
      </c>
      <c r="O413" s="158">
        <v>303.1</v>
      </c>
      <c r="P413" s="158">
        <v>19</v>
      </c>
      <c r="Q413" s="158">
        <v>284.1</v>
      </c>
      <c r="R413" s="158">
        <f t="shared" si="124"/>
        <v>477</v>
      </c>
      <c r="S413" s="158">
        <f t="shared" si="125"/>
        <v>780.1</v>
      </c>
      <c r="T413" s="169"/>
    </row>
    <row r="414" spans="1:20" ht="28.5" customHeight="1">
      <c r="A414" s="156">
        <v>2200204</v>
      </c>
      <c r="B414" s="157" t="s">
        <v>504</v>
      </c>
      <c r="C414" s="158">
        <v>22</v>
      </c>
      <c r="D414" s="158"/>
      <c r="E414" s="158">
        <f t="shared" si="128"/>
        <v>22</v>
      </c>
      <c r="F414" s="158">
        <v>0</v>
      </c>
      <c r="G414" s="158">
        <v>0</v>
      </c>
      <c r="H414" s="158">
        <v>0</v>
      </c>
      <c r="I414" s="158">
        <v>0</v>
      </c>
      <c r="J414" s="158">
        <f t="shared" si="103"/>
        <v>0</v>
      </c>
      <c r="K414" s="158">
        <v>22</v>
      </c>
      <c r="L414" s="158"/>
      <c r="M414" s="158">
        <f t="shared" si="129"/>
        <v>22</v>
      </c>
      <c r="N414" s="158">
        <f t="shared" si="130"/>
        <v>0</v>
      </c>
      <c r="O414" s="158">
        <v>22</v>
      </c>
      <c r="P414" s="158">
        <v>19</v>
      </c>
      <c r="Q414" s="158">
        <v>3</v>
      </c>
      <c r="R414" s="158">
        <f t="shared" si="124"/>
        <v>0</v>
      </c>
      <c r="S414" s="158">
        <f t="shared" si="125"/>
        <v>22</v>
      </c>
      <c r="T414" s="169"/>
    </row>
    <row r="415" spans="1:20" ht="36.75" customHeight="1">
      <c r="A415" s="156">
        <v>2200205</v>
      </c>
      <c r="B415" s="157" t="s">
        <v>505</v>
      </c>
      <c r="C415" s="158">
        <v>150</v>
      </c>
      <c r="D415" s="158"/>
      <c r="E415" s="158">
        <f t="shared" si="128"/>
        <v>150</v>
      </c>
      <c r="F415" s="158">
        <v>125.3</v>
      </c>
      <c r="G415" s="158">
        <v>0</v>
      </c>
      <c r="H415" s="158">
        <v>0</v>
      </c>
      <c r="I415" s="158">
        <v>0</v>
      </c>
      <c r="J415" s="158">
        <f t="shared" si="103"/>
        <v>0</v>
      </c>
      <c r="K415" s="158">
        <v>275.3</v>
      </c>
      <c r="L415" s="158"/>
      <c r="M415" s="158">
        <f t="shared" si="129"/>
        <v>275.3</v>
      </c>
      <c r="N415" s="158">
        <f t="shared" si="130"/>
        <v>83.53333333333335</v>
      </c>
      <c r="O415" s="158">
        <v>275.3</v>
      </c>
      <c r="P415" s="158">
        <v>0</v>
      </c>
      <c r="Q415" s="158">
        <v>275.3</v>
      </c>
      <c r="R415" s="158">
        <f t="shared" si="124"/>
        <v>0</v>
      </c>
      <c r="S415" s="158">
        <f t="shared" si="125"/>
        <v>275.3</v>
      </c>
      <c r="T415" s="169" t="s">
        <v>506</v>
      </c>
    </row>
    <row r="416" spans="1:20" ht="28.5" customHeight="1">
      <c r="A416" s="156">
        <v>2200299</v>
      </c>
      <c r="B416" s="157" t="s">
        <v>507</v>
      </c>
      <c r="C416" s="158">
        <v>5.8</v>
      </c>
      <c r="D416" s="158">
        <v>477</v>
      </c>
      <c r="E416" s="158">
        <f t="shared" si="128"/>
        <v>482.8</v>
      </c>
      <c r="F416" s="158">
        <v>0</v>
      </c>
      <c r="G416" s="158">
        <v>0</v>
      </c>
      <c r="H416" s="158">
        <v>0</v>
      </c>
      <c r="I416" s="158">
        <v>0</v>
      </c>
      <c r="J416" s="158">
        <f t="shared" si="103"/>
        <v>0</v>
      </c>
      <c r="K416" s="158">
        <v>5.8</v>
      </c>
      <c r="L416" s="158">
        <v>477</v>
      </c>
      <c r="M416" s="158">
        <f t="shared" si="129"/>
        <v>482.8</v>
      </c>
      <c r="N416" s="158">
        <f t="shared" si="130"/>
        <v>0</v>
      </c>
      <c r="O416" s="158">
        <v>5.8</v>
      </c>
      <c r="P416" s="158">
        <v>0</v>
      </c>
      <c r="Q416" s="158">
        <v>5.8</v>
      </c>
      <c r="R416" s="158">
        <f t="shared" si="124"/>
        <v>477</v>
      </c>
      <c r="S416" s="158">
        <f t="shared" si="125"/>
        <v>482.8</v>
      </c>
      <c r="T416" s="169"/>
    </row>
    <row r="417" spans="1:20" ht="28.5" customHeight="1">
      <c r="A417" s="156">
        <v>22004</v>
      </c>
      <c r="B417" s="157" t="s">
        <v>508</v>
      </c>
      <c r="C417" s="158">
        <v>2</v>
      </c>
      <c r="D417" s="158"/>
      <c r="E417" s="158">
        <f t="shared" si="128"/>
        <v>2</v>
      </c>
      <c r="F417" s="158">
        <v>0</v>
      </c>
      <c r="G417" s="158">
        <v>0</v>
      </c>
      <c r="H417" s="158">
        <v>0</v>
      </c>
      <c r="I417" s="158">
        <v>0</v>
      </c>
      <c r="J417" s="158">
        <f t="shared" si="103"/>
        <v>0</v>
      </c>
      <c r="K417" s="158">
        <v>2</v>
      </c>
      <c r="L417" s="158"/>
      <c r="M417" s="158">
        <f t="shared" si="129"/>
        <v>2</v>
      </c>
      <c r="N417" s="158">
        <f t="shared" si="130"/>
        <v>0</v>
      </c>
      <c r="O417" s="158">
        <v>2</v>
      </c>
      <c r="P417" s="158">
        <v>2</v>
      </c>
      <c r="Q417" s="158">
        <v>0</v>
      </c>
      <c r="R417" s="158">
        <f t="shared" si="124"/>
        <v>0</v>
      </c>
      <c r="S417" s="158">
        <f t="shared" si="125"/>
        <v>2</v>
      </c>
      <c r="T417" s="169"/>
    </row>
    <row r="418" spans="1:20" ht="28.5" customHeight="1">
      <c r="A418" s="156">
        <v>2200499</v>
      </c>
      <c r="B418" s="157" t="s">
        <v>509</v>
      </c>
      <c r="C418" s="158">
        <v>2</v>
      </c>
      <c r="D418" s="158"/>
      <c r="E418" s="158">
        <f t="shared" si="128"/>
        <v>2</v>
      </c>
      <c r="F418" s="158">
        <v>0</v>
      </c>
      <c r="G418" s="158">
        <v>0</v>
      </c>
      <c r="H418" s="158">
        <v>0</v>
      </c>
      <c r="I418" s="158">
        <v>0</v>
      </c>
      <c r="J418" s="158">
        <f t="shared" si="103"/>
        <v>0</v>
      </c>
      <c r="K418" s="158">
        <v>2</v>
      </c>
      <c r="L418" s="158"/>
      <c r="M418" s="158">
        <f t="shared" si="129"/>
        <v>2</v>
      </c>
      <c r="N418" s="158">
        <f t="shared" si="130"/>
        <v>0</v>
      </c>
      <c r="O418" s="158">
        <v>2</v>
      </c>
      <c r="P418" s="158">
        <v>2</v>
      </c>
      <c r="Q418" s="158">
        <v>0</v>
      </c>
      <c r="R418" s="158">
        <f t="shared" si="124"/>
        <v>0</v>
      </c>
      <c r="S418" s="158">
        <f t="shared" si="125"/>
        <v>2</v>
      </c>
      <c r="T418" s="169"/>
    </row>
    <row r="419" spans="1:20" ht="28.5" customHeight="1">
      <c r="A419" s="156">
        <v>221</v>
      </c>
      <c r="B419" s="157" t="s">
        <v>510</v>
      </c>
      <c r="C419" s="158">
        <f aca="true" t="shared" si="131" ref="C419:I419">C420+C425</f>
        <v>1437.68</v>
      </c>
      <c r="D419" s="158">
        <f t="shared" si="131"/>
        <v>23</v>
      </c>
      <c r="E419" s="158">
        <f t="shared" si="128"/>
        <v>1460.68</v>
      </c>
      <c r="F419" s="158">
        <f t="shared" si="131"/>
        <v>4.66</v>
      </c>
      <c r="G419" s="158">
        <f t="shared" si="131"/>
        <v>1686.1</v>
      </c>
      <c r="H419" s="158">
        <f t="shared" si="131"/>
        <v>0</v>
      </c>
      <c r="I419" s="158">
        <f t="shared" si="131"/>
        <v>38.41</v>
      </c>
      <c r="J419" s="158">
        <f t="shared" si="103"/>
        <v>87.45</v>
      </c>
      <c r="K419" s="158">
        <f aca="true" t="shared" si="132" ref="K419:S419">K420+K425</f>
        <v>3166.85</v>
      </c>
      <c r="L419" s="158">
        <v>110.45</v>
      </c>
      <c r="M419" s="158">
        <f t="shared" si="129"/>
        <v>3277.2999999999997</v>
      </c>
      <c r="N419" s="158">
        <f t="shared" si="130"/>
        <v>124.36810252758987</v>
      </c>
      <c r="O419" s="158">
        <f t="shared" si="132"/>
        <v>3166.85</v>
      </c>
      <c r="P419" s="158">
        <f t="shared" si="132"/>
        <v>1071.51</v>
      </c>
      <c r="Q419" s="158">
        <f t="shared" si="132"/>
        <v>2095.34</v>
      </c>
      <c r="R419" s="158">
        <f t="shared" si="132"/>
        <v>110.45</v>
      </c>
      <c r="S419" s="158">
        <f t="shared" si="132"/>
        <v>3277.3</v>
      </c>
      <c r="T419" s="169"/>
    </row>
    <row r="420" spans="1:20" ht="28.5" customHeight="1">
      <c r="A420" s="156">
        <v>22101</v>
      </c>
      <c r="B420" s="157" t="s">
        <v>511</v>
      </c>
      <c r="C420" s="158">
        <v>0</v>
      </c>
      <c r="D420" s="158">
        <v>23</v>
      </c>
      <c r="E420" s="158">
        <f t="shared" si="128"/>
        <v>23</v>
      </c>
      <c r="F420" s="158">
        <v>0</v>
      </c>
      <c r="G420" s="158">
        <v>1686.1</v>
      </c>
      <c r="H420" s="158">
        <v>0</v>
      </c>
      <c r="I420" s="158">
        <v>0.4</v>
      </c>
      <c r="J420" s="158">
        <f t="shared" si="103"/>
        <v>87.45</v>
      </c>
      <c r="K420" s="158">
        <v>1686.5</v>
      </c>
      <c r="L420" s="158">
        <v>110.45</v>
      </c>
      <c r="M420" s="158">
        <f t="shared" si="129"/>
        <v>1796.95</v>
      </c>
      <c r="N420" s="158">
        <f t="shared" si="130"/>
        <v>7712.826086956522</v>
      </c>
      <c r="O420" s="158">
        <v>1686.5</v>
      </c>
      <c r="P420" s="158">
        <v>0.4</v>
      </c>
      <c r="Q420" s="158">
        <v>1686.1</v>
      </c>
      <c r="R420" s="158">
        <f aca="true" t="shared" si="133" ref="R420:R426">L420</f>
        <v>110.45</v>
      </c>
      <c r="S420" s="158">
        <f aca="true" t="shared" si="134" ref="S420:S426">M420</f>
        <v>1796.95</v>
      </c>
      <c r="T420" s="169"/>
    </row>
    <row r="421" spans="1:20" ht="39" customHeight="1">
      <c r="A421" s="156">
        <v>2210103</v>
      </c>
      <c r="B421" s="157" t="s">
        <v>512</v>
      </c>
      <c r="C421" s="158">
        <v>0</v>
      </c>
      <c r="D421" s="158"/>
      <c r="E421" s="158">
        <f t="shared" si="128"/>
        <v>0</v>
      </c>
      <c r="F421" s="158">
        <v>0</v>
      </c>
      <c r="G421" s="158">
        <v>107</v>
      </c>
      <c r="H421" s="158">
        <v>0</v>
      </c>
      <c r="I421" s="158">
        <v>0</v>
      </c>
      <c r="J421" s="158">
        <f t="shared" si="103"/>
        <v>0</v>
      </c>
      <c r="K421" s="158">
        <v>107</v>
      </c>
      <c r="L421" s="158"/>
      <c r="M421" s="158">
        <f t="shared" si="129"/>
        <v>107</v>
      </c>
      <c r="N421" s="158">
        <v>100</v>
      </c>
      <c r="O421" s="158">
        <v>107</v>
      </c>
      <c r="P421" s="158">
        <v>0</v>
      </c>
      <c r="Q421" s="158">
        <v>107</v>
      </c>
      <c r="R421" s="158">
        <f t="shared" si="133"/>
        <v>0</v>
      </c>
      <c r="S421" s="158">
        <f t="shared" si="134"/>
        <v>107</v>
      </c>
      <c r="T421" s="169" t="s">
        <v>513</v>
      </c>
    </row>
    <row r="422" spans="1:20" ht="28.5" customHeight="1">
      <c r="A422" s="156">
        <v>2210105</v>
      </c>
      <c r="B422" s="157" t="s">
        <v>514</v>
      </c>
      <c r="C422" s="158">
        <v>0</v>
      </c>
      <c r="D422" s="158"/>
      <c r="E422" s="158">
        <f t="shared" si="128"/>
        <v>0</v>
      </c>
      <c r="F422" s="158">
        <v>0</v>
      </c>
      <c r="G422" s="158">
        <v>0</v>
      </c>
      <c r="H422" s="158">
        <v>0</v>
      </c>
      <c r="I422" s="158">
        <v>0.4</v>
      </c>
      <c r="J422" s="158">
        <f t="shared" si="103"/>
        <v>0</v>
      </c>
      <c r="K422" s="158">
        <v>0.4</v>
      </c>
      <c r="L422" s="158"/>
      <c r="M422" s="158">
        <f t="shared" si="129"/>
        <v>0.4</v>
      </c>
      <c r="N422" s="158">
        <v>100</v>
      </c>
      <c r="O422" s="158">
        <v>0.4</v>
      </c>
      <c r="P422" s="158">
        <v>0.4</v>
      </c>
      <c r="Q422" s="158">
        <v>0</v>
      </c>
      <c r="R422" s="158">
        <f t="shared" si="133"/>
        <v>0</v>
      </c>
      <c r="S422" s="158">
        <f t="shared" si="134"/>
        <v>0.4</v>
      </c>
      <c r="T422" s="169"/>
    </row>
    <row r="423" spans="1:20" ht="28.5" customHeight="1">
      <c r="A423" s="156">
        <v>2210106</v>
      </c>
      <c r="B423" s="157" t="s">
        <v>515</v>
      </c>
      <c r="C423" s="158">
        <v>0</v>
      </c>
      <c r="D423" s="158"/>
      <c r="E423" s="158">
        <f t="shared" si="128"/>
        <v>0</v>
      </c>
      <c r="F423" s="158">
        <v>0</v>
      </c>
      <c r="G423" s="158">
        <v>1224.1</v>
      </c>
      <c r="H423" s="158">
        <v>0</v>
      </c>
      <c r="I423" s="158">
        <v>0</v>
      </c>
      <c r="J423" s="158">
        <f t="shared" si="103"/>
        <v>0</v>
      </c>
      <c r="K423" s="158">
        <v>1224.1</v>
      </c>
      <c r="L423" s="158"/>
      <c r="M423" s="158">
        <f t="shared" si="129"/>
        <v>1224.1</v>
      </c>
      <c r="N423" s="158">
        <v>100</v>
      </c>
      <c r="O423" s="158">
        <v>1224.1</v>
      </c>
      <c r="P423" s="158">
        <v>0</v>
      </c>
      <c r="Q423" s="158">
        <v>1224.1</v>
      </c>
      <c r="R423" s="158">
        <f t="shared" si="133"/>
        <v>0</v>
      </c>
      <c r="S423" s="158">
        <f t="shared" si="134"/>
        <v>1224.1</v>
      </c>
      <c r="T423" s="169" t="s">
        <v>183</v>
      </c>
    </row>
    <row r="424" spans="1:20" ht="36.75" customHeight="1">
      <c r="A424" s="156">
        <v>2210107</v>
      </c>
      <c r="B424" s="157" t="s">
        <v>516</v>
      </c>
      <c r="C424" s="158">
        <v>0</v>
      </c>
      <c r="D424" s="158">
        <v>23</v>
      </c>
      <c r="E424" s="158">
        <f t="shared" si="128"/>
        <v>23</v>
      </c>
      <c r="F424" s="158">
        <v>0</v>
      </c>
      <c r="G424" s="158">
        <v>355</v>
      </c>
      <c r="H424" s="158">
        <v>0</v>
      </c>
      <c r="I424" s="158">
        <v>0</v>
      </c>
      <c r="J424" s="158">
        <f t="shared" si="103"/>
        <v>87.45</v>
      </c>
      <c r="K424" s="158">
        <v>355</v>
      </c>
      <c r="L424" s="158">
        <v>110.45</v>
      </c>
      <c r="M424" s="158">
        <f t="shared" si="129"/>
        <v>465.45</v>
      </c>
      <c r="N424" s="158">
        <f aca="true" t="shared" si="135" ref="N424:N439">(M424/E424-1)*100</f>
        <v>1923.695652173913</v>
      </c>
      <c r="O424" s="158">
        <v>355</v>
      </c>
      <c r="P424" s="158">
        <v>0</v>
      </c>
      <c r="Q424" s="158">
        <v>355</v>
      </c>
      <c r="R424" s="158">
        <f t="shared" si="133"/>
        <v>110.45</v>
      </c>
      <c r="S424" s="158">
        <f t="shared" si="134"/>
        <v>465.45</v>
      </c>
      <c r="T424" s="169" t="s">
        <v>517</v>
      </c>
    </row>
    <row r="425" spans="1:20" ht="28.5" customHeight="1">
      <c r="A425" s="156">
        <v>22102</v>
      </c>
      <c r="B425" s="157" t="s">
        <v>518</v>
      </c>
      <c r="C425" s="158">
        <v>1437.68</v>
      </c>
      <c r="D425" s="158"/>
      <c r="E425" s="158">
        <f t="shared" si="128"/>
        <v>1437.68</v>
      </c>
      <c r="F425" s="158">
        <v>4.66</v>
      </c>
      <c r="G425" s="158">
        <v>0</v>
      </c>
      <c r="H425" s="158">
        <v>0</v>
      </c>
      <c r="I425" s="158">
        <v>38.01</v>
      </c>
      <c r="J425" s="158">
        <f t="shared" si="103"/>
        <v>0</v>
      </c>
      <c r="K425" s="158">
        <v>1480.35</v>
      </c>
      <c r="L425" s="158"/>
      <c r="M425" s="158">
        <f t="shared" si="129"/>
        <v>1480.35</v>
      </c>
      <c r="N425" s="158">
        <f t="shared" si="135"/>
        <v>2.9679761838517393</v>
      </c>
      <c r="O425" s="158">
        <v>1480.35</v>
      </c>
      <c r="P425" s="158">
        <v>1071.11</v>
      </c>
      <c r="Q425" s="158">
        <v>409.24</v>
      </c>
      <c r="R425" s="158">
        <f t="shared" si="133"/>
        <v>0</v>
      </c>
      <c r="S425" s="158">
        <f t="shared" si="134"/>
        <v>1480.35</v>
      </c>
      <c r="T425" s="169"/>
    </row>
    <row r="426" spans="1:20" ht="39" customHeight="1">
      <c r="A426" s="156">
        <v>2210201</v>
      </c>
      <c r="B426" s="157" t="s">
        <v>519</v>
      </c>
      <c r="C426" s="158">
        <v>1437.68</v>
      </c>
      <c r="D426" s="158"/>
      <c r="E426" s="158">
        <f t="shared" si="128"/>
        <v>1437.68</v>
      </c>
      <c r="F426" s="158">
        <v>4.66</v>
      </c>
      <c r="G426" s="158">
        <v>0</v>
      </c>
      <c r="H426" s="158">
        <v>0</v>
      </c>
      <c r="I426" s="158">
        <v>38.01</v>
      </c>
      <c r="J426" s="158">
        <f t="shared" si="103"/>
        <v>0</v>
      </c>
      <c r="K426" s="158">
        <v>1480.35</v>
      </c>
      <c r="L426" s="158"/>
      <c r="M426" s="158">
        <f t="shared" si="129"/>
        <v>1480.35</v>
      </c>
      <c r="N426" s="158">
        <f t="shared" si="135"/>
        <v>2.9679761838517393</v>
      </c>
      <c r="O426" s="158">
        <v>1480.35</v>
      </c>
      <c r="P426" s="158">
        <v>1071.11</v>
      </c>
      <c r="Q426" s="158">
        <v>409.24</v>
      </c>
      <c r="R426" s="158">
        <f t="shared" si="133"/>
        <v>0</v>
      </c>
      <c r="S426" s="158">
        <f t="shared" si="134"/>
        <v>1480.35</v>
      </c>
      <c r="T426" s="169" t="s">
        <v>165</v>
      </c>
    </row>
    <row r="427" spans="1:20" ht="28.5" customHeight="1">
      <c r="A427" s="156">
        <v>222</v>
      </c>
      <c r="B427" s="157" t="s">
        <v>520</v>
      </c>
      <c r="C427" s="158">
        <f aca="true" t="shared" si="136" ref="C427:I427">C428+C431</f>
        <v>727.28</v>
      </c>
      <c r="D427" s="158">
        <f t="shared" si="136"/>
        <v>10.5</v>
      </c>
      <c r="E427" s="158">
        <f t="shared" si="128"/>
        <v>737.78</v>
      </c>
      <c r="F427" s="158">
        <f t="shared" si="136"/>
        <v>-12</v>
      </c>
      <c r="G427" s="158">
        <f t="shared" si="136"/>
        <v>0</v>
      </c>
      <c r="H427" s="158">
        <f t="shared" si="136"/>
        <v>0</v>
      </c>
      <c r="I427" s="158">
        <f t="shared" si="136"/>
        <v>48.72</v>
      </c>
      <c r="J427" s="158">
        <f t="shared" si="103"/>
        <v>252.904247</v>
      </c>
      <c r="K427" s="158">
        <f aca="true" t="shared" si="137" ref="K427:S427">K428+K431</f>
        <v>764</v>
      </c>
      <c r="L427" s="158">
        <v>263.404247</v>
      </c>
      <c r="M427" s="158">
        <f t="shared" si="129"/>
        <v>1027.404247</v>
      </c>
      <c r="N427" s="158">
        <f t="shared" si="135"/>
        <v>39.2561802976497</v>
      </c>
      <c r="O427" s="158">
        <f t="shared" si="137"/>
        <v>764</v>
      </c>
      <c r="P427" s="158">
        <f t="shared" si="137"/>
        <v>671.63</v>
      </c>
      <c r="Q427" s="158">
        <f t="shared" si="137"/>
        <v>92.37</v>
      </c>
      <c r="R427" s="158">
        <f t="shared" si="137"/>
        <v>263.404247</v>
      </c>
      <c r="S427" s="158">
        <f t="shared" si="137"/>
        <v>1027.404247</v>
      </c>
      <c r="T427" s="169"/>
    </row>
    <row r="428" spans="1:20" ht="28.5" customHeight="1">
      <c r="A428" s="156">
        <v>22201</v>
      </c>
      <c r="B428" s="157" t="s">
        <v>521</v>
      </c>
      <c r="C428" s="158">
        <v>622.28</v>
      </c>
      <c r="D428" s="158">
        <v>10.5</v>
      </c>
      <c r="E428" s="158">
        <f t="shared" si="128"/>
        <v>632.78</v>
      </c>
      <c r="F428" s="158">
        <v>-12</v>
      </c>
      <c r="G428" s="158">
        <v>0</v>
      </c>
      <c r="H428" s="158">
        <v>0</v>
      </c>
      <c r="I428" s="158">
        <v>36.72</v>
      </c>
      <c r="J428" s="158">
        <f t="shared" si="103"/>
        <v>252.904247</v>
      </c>
      <c r="K428" s="158">
        <v>647</v>
      </c>
      <c r="L428" s="158">
        <v>263.404247</v>
      </c>
      <c r="M428" s="158">
        <f t="shared" si="129"/>
        <v>910.4042469999999</v>
      </c>
      <c r="N428" s="158">
        <f t="shared" si="135"/>
        <v>43.87373921426088</v>
      </c>
      <c r="O428" s="158">
        <v>647</v>
      </c>
      <c r="P428" s="158">
        <v>554.78</v>
      </c>
      <c r="Q428" s="158">
        <v>92.22</v>
      </c>
      <c r="R428" s="158">
        <f aca="true" t="shared" si="138" ref="R428:R433">L428</f>
        <v>263.404247</v>
      </c>
      <c r="S428" s="158">
        <f aca="true" t="shared" si="139" ref="S428:S433">M428</f>
        <v>910.4042469999999</v>
      </c>
      <c r="T428" s="169"/>
    </row>
    <row r="429" spans="1:20" ht="28.5" customHeight="1">
      <c r="A429" s="156">
        <v>2220115</v>
      </c>
      <c r="B429" s="157" t="s">
        <v>522</v>
      </c>
      <c r="C429" s="158">
        <v>434</v>
      </c>
      <c r="D429" s="158"/>
      <c r="E429" s="158">
        <f t="shared" si="128"/>
        <v>434</v>
      </c>
      <c r="F429" s="158">
        <v>0</v>
      </c>
      <c r="G429" s="158">
        <v>0</v>
      </c>
      <c r="H429" s="158">
        <v>0</v>
      </c>
      <c r="I429" s="158">
        <v>0</v>
      </c>
      <c r="J429" s="158">
        <f t="shared" si="103"/>
        <v>0</v>
      </c>
      <c r="K429" s="158">
        <v>434</v>
      </c>
      <c r="L429" s="158"/>
      <c r="M429" s="158">
        <f t="shared" si="129"/>
        <v>434</v>
      </c>
      <c r="N429" s="158">
        <f t="shared" si="135"/>
        <v>0</v>
      </c>
      <c r="O429" s="158">
        <v>434</v>
      </c>
      <c r="P429" s="158">
        <v>434</v>
      </c>
      <c r="Q429" s="158">
        <v>0</v>
      </c>
      <c r="R429" s="158">
        <f t="shared" si="138"/>
        <v>0</v>
      </c>
      <c r="S429" s="158">
        <f t="shared" si="139"/>
        <v>434</v>
      </c>
      <c r="T429" s="169"/>
    </row>
    <row r="430" spans="1:20" ht="67.5" customHeight="1">
      <c r="A430" s="156">
        <v>2220199</v>
      </c>
      <c r="B430" s="157" t="s">
        <v>523</v>
      </c>
      <c r="C430" s="158">
        <v>188.28</v>
      </c>
      <c r="D430" s="158">
        <v>10.5</v>
      </c>
      <c r="E430" s="158">
        <f t="shared" si="128"/>
        <v>198.78</v>
      </c>
      <c r="F430" s="158">
        <v>-12</v>
      </c>
      <c r="G430" s="158">
        <v>0</v>
      </c>
      <c r="H430" s="158">
        <v>0</v>
      </c>
      <c r="I430" s="158">
        <v>36.72</v>
      </c>
      <c r="J430" s="158">
        <f t="shared" si="103"/>
        <v>252.904247</v>
      </c>
      <c r="K430" s="158">
        <v>213</v>
      </c>
      <c r="L430" s="158">
        <v>263.404247</v>
      </c>
      <c r="M430" s="158">
        <f t="shared" si="129"/>
        <v>476.404247</v>
      </c>
      <c r="N430" s="158">
        <f t="shared" si="135"/>
        <v>139.6640743535567</v>
      </c>
      <c r="O430" s="158">
        <v>213</v>
      </c>
      <c r="P430" s="158">
        <v>120.78</v>
      </c>
      <c r="Q430" s="158">
        <v>92.22</v>
      </c>
      <c r="R430" s="158">
        <f t="shared" si="138"/>
        <v>263.404247</v>
      </c>
      <c r="S430" s="158">
        <f t="shared" si="139"/>
        <v>476.404247</v>
      </c>
      <c r="T430" s="169" t="s">
        <v>103</v>
      </c>
    </row>
    <row r="431" spans="1:20" ht="28.5" customHeight="1">
      <c r="A431" s="156">
        <v>22204</v>
      </c>
      <c r="B431" s="157" t="s">
        <v>524</v>
      </c>
      <c r="C431" s="158">
        <v>105</v>
      </c>
      <c r="D431" s="158"/>
      <c r="E431" s="158">
        <f t="shared" si="128"/>
        <v>105</v>
      </c>
      <c r="F431" s="158">
        <v>0</v>
      </c>
      <c r="G431" s="158">
        <v>0</v>
      </c>
      <c r="H431" s="158">
        <v>0</v>
      </c>
      <c r="I431" s="158">
        <v>12</v>
      </c>
      <c r="J431" s="158">
        <f t="shared" si="103"/>
        <v>0</v>
      </c>
      <c r="K431" s="158">
        <v>117</v>
      </c>
      <c r="L431" s="158"/>
      <c r="M431" s="158">
        <f t="shared" si="129"/>
        <v>117</v>
      </c>
      <c r="N431" s="158">
        <f t="shared" si="135"/>
        <v>11.428571428571432</v>
      </c>
      <c r="O431" s="158">
        <v>117</v>
      </c>
      <c r="P431" s="158">
        <v>116.85</v>
      </c>
      <c r="Q431" s="158">
        <v>0.15</v>
      </c>
      <c r="R431" s="158">
        <f t="shared" si="138"/>
        <v>0</v>
      </c>
      <c r="S431" s="158">
        <f t="shared" si="139"/>
        <v>117</v>
      </c>
      <c r="T431" s="169"/>
    </row>
    <row r="432" spans="1:20" ht="37.5" customHeight="1">
      <c r="A432" s="156">
        <v>2220403</v>
      </c>
      <c r="B432" s="157" t="s">
        <v>525</v>
      </c>
      <c r="C432" s="158">
        <v>105</v>
      </c>
      <c r="D432" s="158"/>
      <c r="E432" s="158">
        <f t="shared" si="128"/>
        <v>105</v>
      </c>
      <c r="F432" s="158">
        <v>0</v>
      </c>
      <c r="G432" s="158">
        <v>0</v>
      </c>
      <c r="H432" s="158">
        <v>0</v>
      </c>
      <c r="I432" s="158">
        <v>12</v>
      </c>
      <c r="J432" s="158">
        <f t="shared" si="103"/>
        <v>0</v>
      </c>
      <c r="K432" s="158">
        <v>117</v>
      </c>
      <c r="L432" s="158"/>
      <c r="M432" s="158">
        <f t="shared" si="129"/>
        <v>117</v>
      </c>
      <c r="N432" s="158">
        <f t="shared" si="135"/>
        <v>11.428571428571432</v>
      </c>
      <c r="O432" s="158">
        <v>117</v>
      </c>
      <c r="P432" s="158">
        <v>116.85</v>
      </c>
      <c r="Q432" s="158">
        <v>0.15</v>
      </c>
      <c r="R432" s="158">
        <f t="shared" si="138"/>
        <v>0</v>
      </c>
      <c r="S432" s="158">
        <f t="shared" si="139"/>
        <v>117</v>
      </c>
      <c r="T432" s="169" t="s">
        <v>526</v>
      </c>
    </row>
    <row r="433" spans="1:20" ht="28.5" customHeight="1">
      <c r="A433" s="156">
        <v>227</v>
      </c>
      <c r="B433" s="157" t="s">
        <v>527</v>
      </c>
      <c r="C433" s="158">
        <v>2000</v>
      </c>
      <c r="D433" s="158"/>
      <c r="E433" s="158">
        <f t="shared" si="128"/>
        <v>2000</v>
      </c>
      <c r="F433" s="158"/>
      <c r="G433" s="158"/>
      <c r="H433" s="158"/>
      <c r="I433" s="158"/>
      <c r="J433" s="158">
        <f t="shared" si="103"/>
        <v>0</v>
      </c>
      <c r="K433" s="158">
        <v>2000</v>
      </c>
      <c r="L433" s="158"/>
      <c r="M433" s="158">
        <f t="shared" si="129"/>
        <v>2000</v>
      </c>
      <c r="N433" s="158">
        <f t="shared" si="135"/>
        <v>0</v>
      </c>
      <c r="O433" s="158">
        <v>2000</v>
      </c>
      <c r="P433" s="158"/>
      <c r="Q433" s="158">
        <v>2000</v>
      </c>
      <c r="R433" s="158">
        <f t="shared" si="138"/>
        <v>0</v>
      </c>
      <c r="S433" s="158">
        <f t="shared" si="139"/>
        <v>2000</v>
      </c>
      <c r="T433" s="169"/>
    </row>
    <row r="434" spans="1:20" ht="28.5" customHeight="1">
      <c r="A434" s="156">
        <v>229</v>
      </c>
      <c r="B434" s="157" t="s">
        <v>528</v>
      </c>
      <c r="C434" s="158">
        <f aca="true" t="shared" si="140" ref="C434:I434">C435</f>
        <v>19270.65</v>
      </c>
      <c r="D434" s="158">
        <f t="shared" si="140"/>
        <v>0</v>
      </c>
      <c r="E434" s="158">
        <f t="shared" si="128"/>
        <v>19270.65</v>
      </c>
      <c r="F434" s="158">
        <f t="shared" si="140"/>
        <v>-2852.41</v>
      </c>
      <c r="G434" s="158">
        <f t="shared" si="140"/>
        <v>-78.08</v>
      </c>
      <c r="H434" s="158">
        <f t="shared" si="140"/>
        <v>0</v>
      </c>
      <c r="I434" s="158">
        <f t="shared" si="140"/>
        <v>-5902.87</v>
      </c>
      <c r="J434" s="158">
        <f aca="true" t="shared" si="141" ref="J434:J448">L434-D434</f>
        <v>1633.5520000000001</v>
      </c>
      <c r="K434" s="158">
        <f aca="true" t="shared" si="142" ref="K434:S434">K435</f>
        <v>10437.29</v>
      </c>
      <c r="L434" s="158">
        <v>1633.5520000000001</v>
      </c>
      <c r="M434" s="158">
        <f t="shared" si="129"/>
        <v>12070.842</v>
      </c>
      <c r="N434" s="158">
        <f t="shared" si="135"/>
        <v>-37.36152127717539</v>
      </c>
      <c r="O434" s="158">
        <f t="shared" si="142"/>
        <v>10437.29</v>
      </c>
      <c r="P434" s="158">
        <f t="shared" si="142"/>
        <v>323.59</v>
      </c>
      <c r="Q434" s="158">
        <f t="shared" si="142"/>
        <v>10113.7</v>
      </c>
      <c r="R434" s="158">
        <f t="shared" si="142"/>
        <v>1633.5520000000001</v>
      </c>
      <c r="S434" s="158">
        <f t="shared" si="142"/>
        <v>12070.842</v>
      </c>
      <c r="T434" s="169"/>
    </row>
    <row r="435" spans="1:20" ht="28.5" customHeight="1">
      <c r="A435" s="156">
        <v>22999</v>
      </c>
      <c r="B435" s="157" t="s">
        <v>528</v>
      </c>
      <c r="C435" s="158">
        <v>19270.65</v>
      </c>
      <c r="D435" s="158"/>
      <c r="E435" s="158">
        <f t="shared" si="128"/>
        <v>19270.65</v>
      </c>
      <c r="F435" s="158">
        <f>2500-5353.41+1</f>
        <v>-2852.41</v>
      </c>
      <c r="G435" s="158">
        <v>-78.08</v>
      </c>
      <c r="H435" s="158">
        <v>0</v>
      </c>
      <c r="I435" s="158">
        <v>-5902.87</v>
      </c>
      <c r="J435" s="158">
        <f t="shared" si="141"/>
        <v>1633.5520000000001</v>
      </c>
      <c r="K435" s="158">
        <f>2500+7936.29+1</f>
        <v>10437.29</v>
      </c>
      <c r="L435" s="158">
        <v>1633.5520000000001</v>
      </c>
      <c r="M435" s="158">
        <f t="shared" si="129"/>
        <v>12070.842</v>
      </c>
      <c r="N435" s="158">
        <f t="shared" si="135"/>
        <v>-37.36152127717539</v>
      </c>
      <c r="O435" s="158">
        <f>2500+7936.29+1</f>
        <v>10437.29</v>
      </c>
      <c r="P435" s="158">
        <v>323.59</v>
      </c>
      <c r="Q435" s="158">
        <f>2500+7612.7+1</f>
        <v>10113.7</v>
      </c>
      <c r="R435" s="158">
        <f aca="true" t="shared" si="143" ref="R435:R439">L435</f>
        <v>1633.5520000000001</v>
      </c>
      <c r="S435" s="158">
        <f aca="true" t="shared" si="144" ref="S435:S439">M435</f>
        <v>12070.842</v>
      </c>
      <c r="T435" s="169"/>
    </row>
    <row r="436" spans="1:20" ht="106.5" customHeight="1">
      <c r="A436" s="156">
        <v>2299901</v>
      </c>
      <c r="B436" s="157" t="s">
        <v>528</v>
      </c>
      <c r="C436" s="158">
        <v>19270.65</v>
      </c>
      <c r="D436" s="158"/>
      <c r="E436" s="158">
        <f t="shared" si="128"/>
        <v>19270.65</v>
      </c>
      <c r="F436" s="158">
        <f>2500-5353.41+1</f>
        <v>-2852.41</v>
      </c>
      <c r="G436" s="158">
        <v>-78.08</v>
      </c>
      <c r="H436" s="158">
        <v>0</v>
      </c>
      <c r="I436" s="158">
        <v>-5902.87</v>
      </c>
      <c r="J436" s="158">
        <f t="shared" si="141"/>
        <v>1633.5520000000001</v>
      </c>
      <c r="K436" s="158">
        <f>2500+7936.29+1</f>
        <v>10437.29</v>
      </c>
      <c r="L436" s="158">
        <v>1633.5520000000001</v>
      </c>
      <c r="M436" s="158">
        <f t="shared" si="129"/>
        <v>12070.842</v>
      </c>
      <c r="N436" s="158">
        <f t="shared" si="135"/>
        <v>-37.36152127717539</v>
      </c>
      <c r="O436" s="158">
        <f>2500+7936.29+1</f>
        <v>10437.29</v>
      </c>
      <c r="P436" s="158">
        <v>323.59</v>
      </c>
      <c r="Q436" s="158">
        <f>2500+7612.7+1</f>
        <v>10113.7</v>
      </c>
      <c r="R436" s="158">
        <f t="shared" si="143"/>
        <v>1633.5520000000001</v>
      </c>
      <c r="S436" s="158">
        <f t="shared" si="144"/>
        <v>12070.842</v>
      </c>
      <c r="T436" s="169" t="s">
        <v>529</v>
      </c>
    </row>
    <row r="437" spans="1:20" ht="28.5" customHeight="1">
      <c r="A437" s="156">
        <v>230</v>
      </c>
      <c r="B437" s="157" t="s">
        <v>530</v>
      </c>
      <c r="C437" s="158">
        <f aca="true" t="shared" si="145" ref="C437:I437">C438</f>
        <v>3008</v>
      </c>
      <c r="D437" s="158">
        <f t="shared" si="145"/>
        <v>0</v>
      </c>
      <c r="E437" s="158">
        <f t="shared" si="128"/>
        <v>3008</v>
      </c>
      <c r="F437" s="158">
        <f t="shared" si="145"/>
        <v>-628</v>
      </c>
      <c r="G437" s="158">
        <f t="shared" si="145"/>
        <v>0</v>
      </c>
      <c r="H437" s="158">
        <f t="shared" si="145"/>
        <v>0</v>
      </c>
      <c r="I437" s="158">
        <f t="shared" si="145"/>
        <v>0</v>
      </c>
      <c r="J437" s="158">
        <f t="shared" si="141"/>
        <v>0</v>
      </c>
      <c r="K437" s="158">
        <f aca="true" t="shared" si="146" ref="K437:S437">K438</f>
        <v>2380</v>
      </c>
      <c r="L437" s="158">
        <v>0</v>
      </c>
      <c r="M437" s="158">
        <f t="shared" si="129"/>
        <v>2380</v>
      </c>
      <c r="N437" s="158">
        <f t="shared" si="135"/>
        <v>-20.877659574468087</v>
      </c>
      <c r="O437" s="158">
        <f t="shared" si="146"/>
        <v>2380</v>
      </c>
      <c r="P437" s="158">
        <f t="shared" si="146"/>
        <v>2380</v>
      </c>
      <c r="Q437" s="158">
        <f t="shared" si="146"/>
        <v>0</v>
      </c>
      <c r="R437" s="158">
        <f t="shared" si="146"/>
        <v>0</v>
      </c>
      <c r="S437" s="158">
        <f t="shared" si="146"/>
        <v>2380</v>
      </c>
      <c r="T437" s="169"/>
    </row>
    <row r="438" spans="1:20" ht="28.5" customHeight="1">
      <c r="A438" s="156">
        <v>23006</v>
      </c>
      <c r="B438" s="157" t="s">
        <v>531</v>
      </c>
      <c r="C438" s="158">
        <v>3008</v>
      </c>
      <c r="D438" s="158"/>
      <c r="E438" s="158">
        <f t="shared" si="128"/>
        <v>3008</v>
      </c>
      <c r="F438" s="158">
        <v>-628</v>
      </c>
      <c r="G438" s="158">
        <v>0</v>
      </c>
      <c r="H438" s="158">
        <v>0</v>
      </c>
      <c r="I438" s="158">
        <v>0</v>
      </c>
      <c r="J438" s="158">
        <f t="shared" si="141"/>
        <v>0</v>
      </c>
      <c r="K438" s="158">
        <v>2380</v>
      </c>
      <c r="L438" s="158"/>
      <c r="M438" s="158">
        <f t="shared" si="129"/>
        <v>2380</v>
      </c>
      <c r="N438" s="158">
        <f t="shared" si="135"/>
        <v>-20.877659574468087</v>
      </c>
      <c r="O438" s="158">
        <v>2380</v>
      </c>
      <c r="P438" s="158">
        <v>2380</v>
      </c>
      <c r="Q438" s="158">
        <v>0</v>
      </c>
      <c r="R438" s="158">
        <f t="shared" si="143"/>
        <v>0</v>
      </c>
      <c r="S438" s="158">
        <f t="shared" si="144"/>
        <v>2380</v>
      </c>
      <c r="T438" s="169"/>
    </row>
    <row r="439" spans="1:20" ht="28.5" customHeight="1">
      <c r="A439" s="156">
        <v>2300602</v>
      </c>
      <c r="B439" s="157" t="s">
        <v>532</v>
      </c>
      <c r="C439" s="158">
        <v>3008</v>
      </c>
      <c r="D439" s="158"/>
      <c r="E439" s="158">
        <f t="shared" si="128"/>
        <v>3008</v>
      </c>
      <c r="F439" s="158">
        <v>-628</v>
      </c>
      <c r="G439" s="158">
        <v>0</v>
      </c>
      <c r="H439" s="158">
        <v>0</v>
      </c>
      <c r="I439" s="158">
        <v>0</v>
      </c>
      <c r="J439" s="158">
        <f t="shared" si="141"/>
        <v>0</v>
      </c>
      <c r="K439" s="158">
        <v>2380</v>
      </c>
      <c r="L439" s="158"/>
      <c r="M439" s="158">
        <f t="shared" si="129"/>
        <v>2380</v>
      </c>
      <c r="N439" s="158">
        <f t="shared" si="135"/>
        <v>-20.877659574468087</v>
      </c>
      <c r="O439" s="158">
        <v>2380</v>
      </c>
      <c r="P439" s="158">
        <v>2380</v>
      </c>
      <c r="Q439" s="158">
        <v>0</v>
      </c>
      <c r="R439" s="158">
        <f t="shared" si="143"/>
        <v>0</v>
      </c>
      <c r="S439" s="158">
        <f t="shared" si="144"/>
        <v>2380</v>
      </c>
      <c r="T439" s="169" t="s">
        <v>533</v>
      </c>
    </row>
    <row r="440" spans="1:20" ht="28.5" customHeight="1">
      <c r="A440" s="156">
        <v>231</v>
      </c>
      <c r="B440" s="157" t="s">
        <v>534</v>
      </c>
      <c r="C440" s="158">
        <f aca="true" t="shared" si="147" ref="C440:I440">C441</f>
        <v>0</v>
      </c>
      <c r="D440" s="158">
        <f t="shared" si="147"/>
        <v>0</v>
      </c>
      <c r="E440" s="158">
        <f t="shared" si="128"/>
        <v>0</v>
      </c>
      <c r="F440" s="158">
        <f t="shared" si="147"/>
        <v>0</v>
      </c>
      <c r="G440" s="158">
        <f t="shared" si="147"/>
        <v>0</v>
      </c>
      <c r="H440" s="158">
        <f t="shared" si="147"/>
        <v>0</v>
      </c>
      <c r="I440" s="158">
        <f t="shared" si="147"/>
        <v>2260.3</v>
      </c>
      <c r="J440" s="158">
        <f t="shared" si="141"/>
        <v>0</v>
      </c>
      <c r="K440" s="158">
        <f aca="true" t="shared" si="148" ref="K440:S440">K441</f>
        <v>2260.3</v>
      </c>
      <c r="L440" s="158">
        <v>0</v>
      </c>
      <c r="M440" s="158">
        <f t="shared" si="129"/>
        <v>2260.3</v>
      </c>
      <c r="N440" s="158">
        <v>100</v>
      </c>
      <c r="O440" s="158">
        <f t="shared" si="148"/>
        <v>2260.3</v>
      </c>
      <c r="P440" s="158">
        <f t="shared" si="148"/>
        <v>2260.3</v>
      </c>
      <c r="Q440" s="158">
        <f t="shared" si="148"/>
        <v>0</v>
      </c>
      <c r="R440" s="158">
        <f t="shared" si="148"/>
        <v>0</v>
      </c>
      <c r="S440" s="158">
        <f t="shared" si="148"/>
        <v>2260.3</v>
      </c>
      <c r="T440" s="169"/>
    </row>
    <row r="441" spans="1:20" ht="34.5" customHeight="1">
      <c r="A441" s="156">
        <v>23103</v>
      </c>
      <c r="B441" s="157" t="s">
        <v>535</v>
      </c>
      <c r="C441" s="158">
        <v>0</v>
      </c>
      <c r="D441" s="158"/>
      <c r="E441" s="158">
        <f t="shared" si="128"/>
        <v>0</v>
      </c>
      <c r="F441" s="158">
        <v>0</v>
      </c>
      <c r="G441" s="158">
        <v>0</v>
      </c>
      <c r="H441" s="158">
        <v>0</v>
      </c>
      <c r="I441" s="158">
        <v>2260.3</v>
      </c>
      <c r="J441" s="158">
        <f t="shared" si="141"/>
        <v>0</v>
      </c>
      <c r="K441" s="158">
        <v>2260.3</v>
      </c>
      <c r="L441" s="158"/>
      <c r="M441" s="158">
        <f t="shared" si="129"/>
        <v>2260.3</v>
      </c>
      <c r="N441" s="158">
        <v>100</v>
      </c>
      <c r="O441" s="158">
        <v>2260.3</v>
      </c>
      <c r="P441" s="158">
        <v>2260.3</v>
      </c>
      <c r="Q441" s="158">
        <v>0</v>
      </c>
      <c r="R441" s="158">
        <f aca="true" t="shared" si="149" ref="R441:R446">L441</f>
        <v>0</v>
      </c>
      <c r="S441" s="158">
        <f aca="true" t="shared" si="150" ref="S441:S446">M441</f>
        <v>2260.3</v>
      </c>
      <c r="T441" s="169"/>
    </row>
    <row r="442" spans="1:20" ht="34.5" customHeight="1">
      <c r="A442" s="156">
        <v>2310301</v>
      </c>
      <c r="B442" s="157" t="s">
        <v>536</v>
      </c>
      <c r="C442" s="158">
        <v>0</v>
      </c>
      <c r="D442" s="158"/>
      <c r="E442" s="158">
        <f t="shared" si="128"/>
        <v>0</v>
      </c>
      <c r="F442" s="158">
        <v>0</v>
      </c>
      <c r="G442" s="158">
        <v>0</v>
      </c>
      <c r="H442" s="158">
        <v>0</v>
      </c>
      <c r="I442" s="158">
        <v>2260.3</v>
      </c>
      <c r="J442" s="158">
        <f t="shared" si="141"/>
        <v>0</v>
      </c>
      <c r="K442" s="158">
        <v>2260.3</v>
      </c>
      <c r="L442" s="158"/>
      <c r="M442" s="158">
        <f t="shared" si="129"/>
        <v>2260.3</v>
      </c>
      <c r="N442" s="158">
        <v>100</v>
      </c>
      <c r="O442" s="158">
        <v>2260.3</v>
      </c>
      <c r="P442" s="158">
        <v>2260.3</v>
      </c>
      <c r="Q442" s="158">
        <v>0</v>
      </c>
      <c r="R442" s="158">
        <f t="shared" si="149"/>
        <v>0</v>
      </c>
      <c r="S442" s="158">
        <f t="shared" si="150"/>
        <v>2260.3</v>
      </c>
      <c r="T442" s="169" t="s">
        <v>537</v>
      </c>
    </row>
    <row r="443" spans="1:20" ht="34.5" customHeight="1">
      <c r="A443" s="156">
        <v>232</v>
      </c>
      <c r="B443" s="157" t="s">
        <v>538</v>
      </c>
      <c r="C443" s="158">
        <f aca="true" t="shared" si="151" ref="C443:I443">C444</f>
        <v>4315.3</v>
      </c>
      <c r="D443" s="158">
        <f t="shared" si="151"/>
        <v>0</v>
      </c>
      <c r="E443" s="158">
        <f t="shared" si="128"/>
        <v>4315.3</v>
      </c>
      <c r="F443" s="158">
        <f t="shared" si="151"/>
        <v>-0.85</v>
      </c>
      <c r="G443" s="158">
        <f t="shared" si="151"/>
        <v>0</v>
      </c>
      <c r="H443" s="158">
        <f t="shared" si="151"/>
        <v>0</v>
      </c>
      <c r="I443" s="158">
        <f t="shared" si="151"/>
        <v>-2260.3</v>
      </c>
      <c r="J443" s="158">
        <f t="shared" si="141"/>
        <v>0</v>
      </c>
      <c r="K443" s="158">
        <f aca="true" t="shared" si="152" ref="K443:S443">K444</f>
        <v>2054.15</v>
      </c>
      <c r="L443" s="158">
        <v>0</v>
      </c>
      <c r="M443" s="158">
        <f t="shared" si="129"/>
        <v>2054.15</v>
      </c>
      <c r="N443" s="158">
        <f aca="true" t="shared" si="153" ref="N443:N449">(M443/E443-1)*100</f>
        <v>-52.39844275021434</v>
      </c>
      <c r="O443" s="158">
        <f t="shared" si="152"/>
        <v>2054.15</v>
      </c>
      <c r="P443" s="158">
        <f t="shared" si="152"/>
        <v>2054.15</v>
      </c>
      <c r="Q443" s="158">
        <f t="shared" si="152"/>
        <v>0</v>
      </c>
      <c r="R443" s="158">
        <f t="shared" si="152"/>
        <v>0</v>
      </c>
      <c r="S443" s="158">
        <f t="shared" si="152"/>
        <v>2054.15</v>
      </c>
      <c r="T443" s="169"/>
    </row>
    <row r="444" spans="1:20" ht="34.5" customHeight="1">
      <c r="A444" s="156">
        <v>23203</v>
      </c>
      <c r="B444" s="157" t="s">
        <v>539</v>
      </c>
      <c r="C444" s="158">
        <v>4315.3</v>
      </c>
      <c r="D444" s="158"/>
      <c r="E444" s="158">
        <f t="shared" si="128"/>
        <v>4315.3</v>
      </c>
      <c r="F444" s="158">
        <v>-0.85</v>
      </c>
      <c r="G444" s="158">
        <v>0</v>
      </c>
      <c r="H444" s="158">
        <v>0</v>
      </c>
      <c r="I444" s="158">
        <v>-2260.3</v>
      </c>
      <c r="J444" s="158">
        <f t="shared" si="141"/>
        <v>0</v>
      </c>
      <c r="K444" s="158">
        <v>2054.15</v>
      </c>
      <c r="L444" s="158"/>
      <c r="M444" s="158">
        <f t="shared" si="129"/>
        <v>2054.15</v>
      </c>
      <c r="N444" s="158">
        <f t="shared" si="153"/>
        <v>-52.39844275021434</v>
      </c>
      <c r="O444" s="158">
        <v>2054.15</v>
      </c>
      <c r="P444" s="158">
        <v>2054.15</v>
      </c>
      <c r="Q444" s="158">
        <v>0</v>
      </c>
      <c r="R444" s="158">
        <f t="shared" si="149"/>
        <v>0</v>
      </c>
      <c r="S444" s="158">
        <f t="shared" si="150"/>
        <v>2054.15</v>
      </c>
      <c r="T444" s="169"/>
    </row>
    <row r="445" spans="1:20" ht="34.5" customHeight="1">
      <c r="A445" s="156">
        <v>2320301</v>
      </c>
      <c r="B445" s="157" t="s">
        <v>540</v>
      </c>
      <c r="C445" s="158">
        <v>2055</v>
      </c>
      <c r="D445" s="158"/>
      <c r="E445" s="158">
        <f t="shared" si="128"/>
        <v>2055</v>
      </c>
      <c r="F445" s="158">
        <v>-0.85</v>
      </c>
      <c r="G445" s="158">
        <v>0</v>
      </c>
      <c r="H445" s="158">
        <v>0</v>
      </c>
      <c r="I445" s="158">
        <v>0</v>
      </c>
      <c r="J445" s="158">
        <f t="shared" si="141"/>
        <v>0</v>
      </c>
      <c r="K445" s="158">
        <v>2054.15</v>
      </c>
      <c r="L445" s="158"/>
      <c r="M445" s="158">
        <f t="shared" si="129"/>
        <v>2054.15</v>
      </c>
      <c r="N445" s="158">
        <f t="shared" si="153"/>
        <v>-0.041362530413624476</v>
      </c>
      <c r="O445" s="158">
        <v>2054.15</v>
      </c>
      <c r="P445" s="158">
        <v>2054.15</v>
      </c>
      <c r="Q445" s="158">
        <v>0</v>
      </c>
      <c r="R445" s="158">
        <f t="shared" si="149"/>
        <v>0</v>
      </c>
      <c r="S445" s="158">
        <f t="shared" si="150"/>
        <v>2054.15</v>
      </c>
      <c r="T445" s="169"/>
    </row>
    <row r="446" spans="1:20" ht="34.5" customHeight="1">
      <c r="A446" s="156">
        <v>2320304</v>
      </c>
      <c r="B446" s="157" t="s">
        <v>541</v>
      </c>
      <c r="C446" s="158">
        <v>2260.3</v>
      </c>
      <c r="D446" s="158"/>
      <c r="E446" s="158">
        <f t="shared" si="128"/>
        <v>2260.3</v>
      </c>
      <c r="F446" s="158">
        <v>0</v>
      </c>
      <c r="G446" s="158">
        <v>0</v>
      </c>
      <c r="H446" s="158">
        <v>0</v>
      </c>
      <c r="I446" s="158">
        <v>-2260.3</v>
      </c>
      <c r="J446" s="158">
        <f t="shared" si="141"/>
        <v>0</v>
      </c>
      <c r="K446" s="158">
        <v>0</v>
      </c>
      <c r="L446" s="158"/>
      <c r="M446" s="158">
        <f t="shared" si="129"/>
        <v>0</v>
      </c>
      <c r="N446" s="158">
        <f t="shared" si="153"/>
        <v>-100</v>
      </c>
      <c r="O446" s="158">
        <v>0</v>
      </c>
      <c r="P446" s="158">
        <v>0</v>
      </c>
      <c r="Q446" s="158">
        <v>0</v>
      </c>
      <c r="R446" s="158">
        <f t="shared" si="149"/>
        <v>0</v>
      </c>
      <c r="S446" s="158">
        <f t="shared" si="150"/>
        <v>0</v>
      </c>
      <c r="T446" s="169" t="s">
        <v>537</v>
      </c>
    </row>
    <row r="447" spans="1:20" ht="28.5" customHeight="1">
      <c r="A447" s="156">
        <v>233</v>
      </c>
      <c r="B447" s="157" t="s">
        <v>542</v>
      </c>
      <c r="C447" s="158">
        <f aca="true" t="shared" si="154" ref="C447:I447">C448</f>
        <v>100</v>
      </c>
      <c r="D447" s="158">
        <f t="shared" si="154"/>
        <v>0</v>
      </c>
      <c r="E447" s="158">
        <f t="shared" si="128"/>
        <v>100</v>
      </c>
      <c r="F447" s="158">
        <f t="shared" si="154"/>
        <v>-99.78</v>
      </c>
      <c r="G447" s="158">
        <f t="shared" si="154"/>
        <v>0</v>
      </c>
      <c r="H447" s="158">
        <f t="shared" si="154"/>
        <v>0</v>
      </c>
      <c r="I447" s="158">
        <f t="shared" si="154"/>
        <v>0</v>
      </c>
      <c r="J447" s="158">
        <f t="shared" si="141"/>
        <v>0</v>
      </c>
      <c r="K447" s="158">
        <f aca="true" t="shared" si="155" ref="K447:S447">K448</f>
        <v>0.22</v>
      </c>
      <c r="L447" s="158">
        <v>0</v>
      </c>
      <c r="M447" s="158">
        <f t="shared" si="129"/>
        <v>0.22</v>
      </c>
      <c r="N447" s="158">
        <f t="shared" si="153"/>
        <v>-99.78</v>
      </c>
      <c r="O447" s="158">
        <f t="shared" si="155"/>
        <v>0.22</v>
      </c>
      <c r="P447" s="158">
        <f t="shared" si="155"/>
        <v>0.22</v>
      </c>
      <c r="Q447" s="158">
        <f t="shared" si="155"/>
        <v>0</v>
      </c>
      <c r="R447" s="158">
        <f t="shared" si="155"/>
        <v>0</v>
      </c>
      <c r="S447" s="158">
        <f t="shared" si="155"/>
        <v>0.22</v>
      </c>
      <c r="T447" s="169"/>
    </row>
    <row r="448" spans="1:20" ht="36.75" customHeight="1">
      <c r="A448" s="156">
        <v>23303</v>
      </c>
      <c r="B448" s="157" t="s">
        <v>543</v>
      </c>
      <c r="C448" s="158">
        <v>100</v>
      </c>
      <c r="D448" s="158"/>
      <c r="E448" s="158">
        <f t="shared" si="128"/>
        <v>100</v>
      </c>
      <c r="F448" s="158">
        <v>-99.78</v>
      </c>
      <c r="G448" s="158">
        <v>0</v>
      </c>
      <c r="H448" s="158">
        <v>0</v>
      </c>
      <c r="I448" s="158">
        <v>0</v>
      </c>
      <c r="J448" s="158">
        <f t="shared" si="141"/>
        <v>0</v>
      </c>
      <c r="K448" s="158">
        <v>0.22</v>
      </c>
      <c r="L448" s="158"/>
      <c r="M448" s="158">
        <f t="shared" si="129"/>
        <v>0.22</v>
      </c>
      <c r="N448" s="158">
        <f t="shared" si="153"/>
        <v>-99.78</v>
      </c>
      <c r="O448" s="158">
        <v>0.22</v>
      </c>
      <c r="P448" s="158">
        <v>0.22</v>
      </c>
      <c r="Q448" s="158">
        <v>0</v>
      </c>
      <c r="R448" s="158">
        <f>L448</f>
        <v>0</v>
      </c>
      <c r="S448" s="158">
        <f>M448</f>
        <v>0.22</v>
      </c>
      <c r="T448" s="169" t="s">
        <v>544</v>
      </c>
    </row>
    <row r="449" spans="1:20" ht="28.5" customHeight="1">
      <c r="A449" s="156">
        <v>1</v>
      </c>
      <c r="B449" s="157" t="s">
        <v>545</v>
      </c>
      <c r="C449" s="171">
        <f aca="true" t="shared" si="156" ref="C449:M449">C447+C443+C440+C437+C434+C433+C427+C419+C406+C403+C393+C382+C374+C322+C308+C297+C257+C190+C178+C164+C144+C120+C113+C7</f>
        <v>125447.65000000001</v>
      </c>
      <c r="D449" s="171">
        <f t="shared" si="156"/>
        <v>22913.74</v>
      </c>
      <c r="E449" s="171">
        <f t="shared" si="156"/>
        <v>148361.39</v>
      </c>
      <c r="F449" s="171">
        <f t="shared" si="156"/>
        <v>1437.32</v>
      </c>
      <c r="G449" s="171">
        <f t="shared" si="156"/>
        <v>1630.52</v>
      </c>
      <c r="H449" s="171">
        <f t="shared" si="156"/>
        <v>-949.9200000000001</v>
      </c>
      <c r="I449" s="171">
        <f t="shared" si="156"/>
        <v>0.04999999999904503</v>
      </c>
      <c r="J449" s="171">
        <f t="shared" si="156"/>
        <v>56208.38561399999</v>
      </c>
      <c r="K449" s="171">
        <f t="shared" si="156"/>
        <v>127565.62</v>
      </c>
      <c r="L449" s="171">
        <v>79122.125614</v>
      </c>
      <c r="M449" s="171">
        <f t="shared" si="156"/>
        <v>206687.745614</v>
      </c>
      <c r="N449" s="171">
        <f t="shared" si="153"/>
        <v>39.31370258394047</v>
      </c>
      <c r="O449" s="171">
        <f aca="true" t="shared" si="157" ref="O449:S449">O447+O443+O440+O437+O434+O433+O427+O419+O406+O403+O393+O382+O374+O322+O308+O297+O257+O190+O178+O164+O144+O120+O113+O7</f>
        <v>127565.62</v>
      </c>
      <c r="P449" s="171">
        <f t="shared" si="157"/>
        <v>62968.04000000001</v>
      </c>
      <c r="Q449" s="171">
        <f t="shared" si="157"/>
        <v>64597.579999999994</v>
      </c>
      <c r="R449" s="171">
        <f t="shared" si="157"/>
        <v>79122.125614</v>
      </c>
      <c r="S449" s="171">
        <f t="shared" si="157"/>
        <v>206687.74561399996</v>
      </c>
      <c r="T449" s="169"/>
    </row>
  </sheetData>
  <sheetProtection/>
  <autoFilter ref="A6:T449"/>
  <mergeCells count="21">
    <mergeCell ref="A2:T2"/>
    <mergeCell ref="A3:T3"/>
    <mergeCell ref="C4:E4"/>
    <mergeCell ref="F4:J4"/>
    <mergeCell ref="K4:M4"/>
    <mergeCell ref="O4:Q4"/>
    <mergeCell ref="F5:I5"/>
    <mergeCell ref="C5:C6"/>
    <mergeCell ref="D5:D6"/>
    <mergeCell ref="E5:E6"/>
    <mergeCell ref="K5:K6"/>
    <mergeCell ref="L5:L6"/>
    <mergeCell ref="M5:M6"/>
    <mergeCell ref="N4:N6"/>
    <mergeCell ref="O5:O6"/>
    <mergeCell ref="P5:P6"/>
    <mergeCell ref="Q5:Q6"/>
    <mergeCell ref="R4:R6"/>
    <mergeCell ref="S4:S6"/>
    <mergeCell ref="T4:T6"/>
    <mergeCell ref="A4:B5"/>
  </mergeCells>
  <printOptions/>
  <pageMargins left="0.39" right="0.28" top="0.39" bottom="0.59" header="0.51" footer="0.51"/>
  <pageSetup fitToHeight="0" fitToWidth="1" horizontalDpi="600" verticalDpi="600" orientation="landscape" paperSize="9" scale="64"/>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J104"/>
  <sheetViews>
    <sheetView zoomScaleSheetLayoutView="100" workbookViewId="0" topLeftCell="A19">
      <selection activeCell="B76" sqref="B76"/>
    </sheetView>
  </sheetViews>
  <sheetFormatPr defaultColWidth="9.00390625" defaultRowHeight="14.25"/>
  <cols>
    <col min="1" max="1" width="10.875" style="75" customWidth="1"/>
    <col min="2" max="2" width="23.125" style="76" customWidth="1"/>
    <col min="3" max="3" width="10.125" style="77" customWidth="1"/>
    <col min="4" max="4" width="17.375" style="78" customWidth="1"/>
    <col min="5" max="5" width="10.625" style="79" hidden="1" customWidth="1"/>
    <col min="6" max="6" width="10.50390625" style="79" customWidth="1"/>
    <col min="7" max="7" width="24.00390625" style="79" customWidth="1"/>
    <col min="8" max="8" width="11.00390625" style="77" customWidth="1"/>
    <col min="9" max="9" width="17.375" style="75" customWidth="1"/>
    <col min="10" max="10" width="10.875" style="75" hidden="1" customWidth="1"/>
    <col min="11" max="11" width="9.00390625" style="75" customWidth="1"/>
    <col min="12" max="12" width="10.375" style="75" customWidth="1"/>
    <col min="13" max="16384" width="9.00390625" style="75" customWidth="1"/>
  </cols>
  <sheetData>
    <row r="1" ht="27" customHeight="1">
      <c r="A1" s="75" t="s">
        <v>546</v>
      </c>
    </row>
    <row r="2" spans="1:10" ht="31.5" customHeight="1">
      <c r="A2" s="80" t="s">
        <v>547</v>
      </c>
      <c r="B2" s="80"/>
      <c r="C2" s="81"/>
      <c r="D2" s="80"/>
      <c r="E2" s="80"/>
      <c r="F2" s="80"/>
      <c r="G2" s="80"/>
      <c r="H2" s="81"/>
      <c r="I2" s="80"/>
      <c r="J2" s="80"/>
    </row>
    <row r="4" spans="9:10" ht="15">
      <c r="I4" s="116" t="s">
        <v>7</v>
      </c>
      <c r="J4" s="116"/>
    </row>
    <row r="5" spans="1:10" ht="30" customHeight="1">
      <c r="A5" s="82" t="s">
        <v>548</v>
      </c>
      <c r="B5" s="83"/>
      <c r="C5" s="83"/>
      <c r="D5" s="84"/>
      <c r="E5" s="85"/>
      <c r="F5" s="86" t="s">
        <v>549</v>
      </c>
      <c r="G5" s="87"/>
      <c r="H5" s="87"/>
      <c r="I5" s="117"/>
      <c r="J5" s="118"/>
    </row>
    <row r="6" spans="1:10" ht="30" customHeight="1">
      <c r="A6" s="88" t="s">
        <v>550</v>
      </c>
      <c r="B6" s="60" t="s">
        <v>8</v>
      </c>
      <c r="C6" s="89" t="s">
        <v>551</v>
      </c>
      <c r="D6" s="90" t="s">
        <v>13</v>
      </c>
      <c r="E6" s="91" t="s">
        <v>552</v>
      </c>
      <c r="F6" s="92" t="s">
        <v>550</v>
      </c>
      <c r="G6" s="89" t="s">
        <v>8</v>
      </c>
      <c r="H6" s="89" t="s">
        <v>551</v>
      </c>
      <c r="I6" s="119" t="s">
        <v>13</v>
      </c>
      <c r="J6" s="118" t="s">
        <v>552</v>
      </c>
    </row>
    <row r="7" spans="1:10" ht="30" customHeight="1">
      <c r="A7" s="88" t="s">
        <v>553</v>
      </c>
      <c r="B7" s="93"/>
      <c r="C7" s="89">
        <f>C8+C14+C35+C77+C79+C96+C103</f>
        <v>9789.0131</v>
      </c>
      <c r="D7" s="94"/>
      <c r="E7" s="95"/>
      <c r="F7" s="89" t="s">
        <v>554</v>
      </c>
      <c r="G7" s="89"/>
      <c r="H7" s="89">
        <f>H8+H12+H25+H35+H41+H48+H50</f>
        <v>-7670.7394</v>
      </c>
      <c r="I7" s="120"/>
      <c r="J7" s="118"/>
    </row>
    <row r="8" spans="1:10" ht="30" customHeight="1">
      <c r="A8" s="96" t="s">
        <v>555</v>
      </c>
      <c r="B8" s="97"/>
      <c r="C8" s="98">
        <f>SUM(C9:C13)</f>
        <v>2276.94</v>
      </c>
      <c r="D8" s="99"/>
      <c r="E8" s="100"/>
      <c r="F8" s="63" t="s">
        <v>555</v>
      </c>
      <c r="G8" s="63"/>
      <c r="H8" s="98">
        <f>SUM(H9:H11)</f>
        <v>-3120</v>
      </c>
      <c r="I8" s="121"/>
      <c r="J8" s="118"/>
    </row>
    <row r="9" spans="1:10" ht="36" customHeight="1">
      <c r="A9" s="101" t="s">
        <v>556</v>
      </c>
      <c r="B9" s="58" t="s">
        <v>557</v>
      </c>
      <c r="C9" s="98">
        <v>200</v>
      </c>
      <c r="D9" s="99" t="s">
        <v>558</v>
      </c>
      <c r="E9" s="100" t="s">
        <v>559</v>
      </c>
      <c r="F9" s="102" t="s">
        <v>560</v>
      </c>
      <c r="G9" s="103" t="s">
        <v>561</v>
      </c>
      <c r="H9" s="98">
        <f>-5398+2500</f>
        <v>-2898</v>
      </c>
      <c r="I9" s="99" t="s">
        <v>558</v>
      </c>
      <c r="J9" s="122" t="s">
        <v>562</v>
      </c>
    </row>
    <row r="10" spans="1:10" ht="33" customHeight="1">
      <c r="A10" s="101" t="s">
        <v>556</v>
      </c>
      <c r="B10" s="58" t="s">
        <v>563</v>
      </c>
      <c r="C10" s="98">
        <v>230</v>
      </c>
      <c r="D10" s="99" t="s">
        <v>558</v>
      </c>
      <c r="E10" s="100" t="s">
        <v>559</v>
      </c>
      <c r="F10" s="102" t="s">
        <v>560</v>
      </c>
      <c r="G10" s="103" t="s">
        <v>564</v>
      </c>
      <c r="H10" s="98">
        <v>-170</v>
      </c>
      <c r="I10" s="121" t="s">
        <v>565</v>
      </c>
      <c r="J10" s="122" t="s">
        <v>562</v>
      </c>
    </row>
    <row r="11" spans="1:10" ht="30" customHeight="1">
      <c r="A11" s="101" t="s">
        <v>560</v>
      </c>
      <c r="B11" s="58" t="s">
        <v>566</v>
      </c>
      <c r="C11" s="98">
        <f>1490.2+4</f>
        <v>1494.2</v>
      </c>
      <c r="D11" s="99" t="s">
        <v>558</v>
      </c>
      <c r="E11" s="104" t="s">
        <v>567</v>
      </c>
      <c r="F11" s="102" t="s">
        <v>560</v>
      </c>
      <c r="G11" s="103" t="s">
        <v>568</v>
      </c>
      <c r="H11" s="98">
        <v>-52</v>
      </c>
      <c r="I11" s="121" t="s">
        <v>565</v>
      </c>
      <c r="J11" s="123" t="s">
        <v>562</v>
      </c>
    </row>
    <row r="12" spans="1:10" ht="30" customHeight="1">
      <c r="A12" s="101" t="s">
        <v>560</v>
      </c>
      <c r="B12" s="58" t="s">
        <v>569</v>
      </c>
      <c r="C12" s="98">
        <f>52+136.72+36.02+58</f>
        <v>282.74</v>
      </c>
      <c r="D12" s="99" t="s">
        <v>558</v>
      </c>
      <c r="E12" s="104" t="s">
        <v>570</v>
      </c>
      <c r="F12" s="98" t="s">
        <v>571</v>
      </c>
      <c r="G12" s="98"/>
      <c r="H12" s="98">
        <f>SUM(H13:H24)</f>
        <v>-690.1053999999999</v>
      </c>
      <c r="I12" s="121"/>
      <c r="J12" s="123"/>
    </row>
    <row r="13" spans="1:10" ht="30" customHeight="1">
      <c r="A13" s="101" t="s">
        <v>560</v>
      </c>
      <c r="B13" s="58" t="s">
        <v>572</v>
      </c>
      <c r="C13" s="98">
        <v>70</v>
      </c>
      <c r="D13" s="99" t="s">
        <v>558</v>
      </c>
      <c r="E13" s="100" t="s">
        <v>573</v>
      </c>
      <c r="F13" s="105" t="s">
        <v>574</v>
      </c>
      <c r="G13" s="105" t="s">
        <v>575</v>
      </c>
      <c r="H13" s="106">
        <v>-0.5</v>
      </c>
      <c r="I13" s="121" t="s">
        <v>565</v>
      </c>
      <c r="J13" s="123" t="s">
        <v>573</v>
      </c>
    </row>
    <row r="14" spans="1:10" ht="33.75" customHeight="1">
      <c r="A14" s="96" t="s">
        <v>571</v>
      </c>
      <c r="B14" s="97"/>
      <c r="C14" s="98">
        <f>SUM(C15:C34)</f>
        <v>2208.33</v>
      </c>
      <c r="D14" s="99"/>
      <c r="E14" s="100"/>
      <c r="F14" s="105" t="s">
        <v>576</v>
      </c>
      <c r="G14" s="105" t="s">
        <v>577</v>
      </c>
      <c r="H14" s="106">
        <v>-1.36</v>
      </c>
      <c r="I14" s="121" t="s">
        <v>565</v>
      </c>
      <c r="J14" s="123" t="s">
        <v>573</v>
      </c>
    </row>
    <row r="15" spans="1:10" ht="36" customHeight="1">
      <c r="A15" s="101" t="s">
        <v>578</v>
      </c>
      <c r="B15" s="58" t="s">
        <v>579</v>
      </c>
      <c r="C15" s="98">
        <v>80</v>
      </c>
      <c r="D15" s="99" t="s">
        <v>558</v>
      </c>
      <c r="E15" s="100" t="s">
        <v>562</v>
      </c>
      <c r="F15" s="105" t="s">
        <v>580</v>
      </c>
      <c r="G15" s="105" t="s">
        <v>581</v>
      </c>
      <c r="H15" s="106">
        <v>-6.09</v>
      </c>
      <c r="I15" s="121" t="s">
        <v>565</v>
      </c>
      <c r="J15" s="123" t="s">
        <v>573</v>
      </c>
    </row>
    <row r="16" spans="1:10" ht="30" customHeight="1">
      <c r="A16" s="101" t="s">
        <v>582</v>
      </c>
      <c r="B16" s="107" t="s">
        <v>583</v>
      </c>
      <c r="C16" s="108">
        <v>5</v>
      </c>
      <c r="D16" s="99" t="s">
        <v>558</v>
      </c>
      <c r="E16" s="100" t="s">
        <v>559</v>
      </c>
      <c r="F16" s="102" t="s">
        <v>584</v>
      </c>
      <c r="G16" s="105" t="s">
        <v>585</v>
      </c>
      <c r="H16" s="98">
        <v>-2.1</v>
      </c>
      <c r="I16" s="121" t="s">
        <v>565</v>
      </c>
      <c r="J16" s="123" t="s">
        <v>559</v>
      </c>
    </row>
    <row r="17" spans="1:10" ht="33.75" customHeight="1">
      <c r="A17" s="101" t="s">
        <v>582</v>
      </c>
      <c r="B17" s="107" t="s">
        <v>586</v>
      </c>
      <c r="C17" s="108">
        <v>97</v>
      </c>
      <c r="D17" s="99" t="s">
        <v>558</v>
      </c>
      <c r="E17" s="100" t="s">
        <v>559</v>
      </c>
      <c r="F17" s="102" t="s">
        <v>587</v>
      </c>
      <c r="G17" s="103" t="s">
        <v>588</v>
      </c>
      <c r="H17" s="108">
        <v>-22.7954</v>
      </c>
      <c r="I17" s="121" t="s">
        <v>565</v>
      </c>
      <c r="J17" s="123" t="s">
        <v>559</v>
      </c>
    </row>
    <row r="18" spans="1:10" ht="30" customHeight="1">
      <c r="A18" s="101" t="s">
        <v>582</v>
      </c>
      <c r="B18" s="107" t="s">
        <v>589</v>
      </c>
      <c r="C18" s="108">
        <v>13</v>
      </c>
      <c r="D18" s="99" t="s">
        <v>558</v>
      </c>
      <c r="E18" s="100" t="s">
        <v>559</v>
      </c>
      <c r="F18" s="105" t="s">
        <v>590</v>
      </c>
      <c r="G18" s="105" t="s">
        <v>591</v>
      </c>
      <c r="H18" s="106">
        <v>-7.84</v>
      </c>
      <c r="I18" s="121" t="s">
        <v>565</v>
      </c>
      <c r="J18" s="123" t="s">
        <v>573</v>
      </c>
    </row>
    <row r="19" spans="1:10" ht="30" customHeight="1">
      <c r="A19" s="101" t="s">
        <v>582</v>
      </c>
      <c r="B19" s="107" t="s">
        <v>592</v>
      </c>
      <c r="C19" s="108">
        <v>82</v>
      </c>
      <c r="D19" s="99" t="s">
        <v>558</v>
      </c>
      <c r="E19" s="100" t="s">
        <v>559</v>
      </c>
      <c r="F19" s="105" t="s">
        <v>574</v>
      </c>
      <c r="G19" s="105" t="s">
        <v>593</v>
      </c>
      <c r="H19" s="106">
        <v>-300</v>
      </c>
      <c r="I19" s="121" t="s">
        <v>565</v>
      </c>
      <c r="J19" s="123" t="s">
        <v>573</v>
      </c>
    </row>
    <row r="20" spans="1:10" ht="30" customHeight="1">
      <c r="A20" s="101" t="s">
        <v>582</v>
      </c>
      <c r="B20" s="107" t="s">
        <v>594</v>
      </c>
      <c r="C20" s="108">
        <v>65</v>
      </c>
      <c r="D20" s="99" t="s">
        <v>558</v>
      </c>
      <c r="E20" s="100" t="s">
        <v>559</v>
      </c>
      <c r="F20" s="105" t="s">
        <v>595</v>
      </c>
      <c r="G20" s="105" t="s">
        <v>596</v>
      </c>
      <c r="H20" s="106">
        <v>-60</v>
      </c>
      <c r="I20" s="121" t="s">
        <v>565</v>
      </c>
      <c r="J20" s="123" t="s">
        <v>573</v>
      </c>
    </row>
    <row r="21" spans="1:10" ht="30" customHeight="1">
      <c r="A21" s="101" t="s">
        <v>597</v>
      </c>
      <c r="B21" s="107" t="s">
        <v>598</v>
      </c>
      <c r="C21" s="106">
        <v>40</v>
      </c>
      <c r="D21" s="99" t="s">
        <v>599</v>
      </c>
      <c r="E21" s="100" t="s">
        <v>559</v>
      </c>
      <c r="F21" s="105" t="s">
        <v>600</v>
      </c>
      <c r="G21" s="105" t="s">
        <v>601</v>
      </c>
      <c r="H21" s="106">
        <v>-29.47</v>
      </c>
      <c r="I21" s="124" t="s">
        <v>602</v>
      </c>
      <c r="J21" s="123" t="s">
        <v>603</v>
      </c>
    </row>
    <row r="22" spans="1:10" ht="30" customHeight="1">
      <c r="A22" s="101" t="s">
        <v>597</v>
      </c>
      <c r="B22" s="107" t="s">
        <v>604</v>
      </c>
      <c r="C22" s="109">
        <v>0.36</v>
      </c>
      <c r="D22" s="99" t="s">
        <v>558</v>
      </c>
      <c r="E22" s="100" t="s">
        <v>559</v>
      </c>
      <c r="F22" s="105" t="s">
        <v>600</v>
      </c>
      <c r="G22" s="105" t="s">
        <v>605</v>
      </c>
      <c r="H22" s="106">
        <v>-57.95</v>
      </c>
      <c r="I22" s="124" t="s">
        <v>602</v>
      </c>
      <c r="J22" s="123" t="s">
        <v>603</v>
      </c>
    </row>
    <row r="23" spans="1:10" ht="30.75" customHeight="1">
      <c r="A23" s="101" t="s">
        <v>597</v>
      </c>
      <c r="B23" s="107" t="s">
        <v>606</v>
      </c>
      <c r="C23" s="110"/>
      <c r="D23" s="99" t="s">
        <v>558</v>
      </c>
      <c r="E23" s="100" t="s">
        <v>559</v>
      </c>
      <c r="F23" s="105" t="s">
        <v>600</v>
      </c>
      <c r="G23" s="105" t="s">
        <v>607</v>
      </c>
      <c r="H23" s="106">
        <v>-2</v>
      </c>
      <c r="I23" s="124" t="s">
        <v>602</v>
      </c>
      <c r="J23" s="123" t="s">
        <v>603</v>
      </c>
    </row>
    <row r="24" spans="1:10" ht="30.75" customHeight="1">
      <c r="A24" s="101" t="s">
        <v>597</v>
      </c>
      <c r="B24" s="107" t="s">
        <v>608</v>
      </c>
      <c r="C24" s="106">
        <v>4.8</v>
      </c>
      <c r="D24" s="99" t="s">
        <v>558</v>
      </c>
      <c r="E24" s="100" t="s">
        <v>559</v>
      </c>
      <c r="F24" s="105" t="s">
        <v>556</v>
      </c>
      <c r="G24" s="105" t="s">
        <v>609</v>
      </c>
      <c r="H24" s="106">
        <v>-200</v>
      </c>
      <c r="I24" s="124" t="s">
        <v>610</v>
      </c>
      <c r="J24" s="125" t="s">
        <v>562</v>
      </c>
    </row>
    <row r="25" spans="1:10" ht="30" customHeight="1">
      <c r="A25" s="101" t="s">
        <v>587</v>
      </c>
      <c r="B25" s="107" t="s">
        <v>611</v>
      </c>
      <c r="C25" s="108">
        <v>8</v>
      </c>
      <c r="D25" s="99" t="s">
        <v>558</v>
      </c>
      <c r="E25" s="100" t="s">
        <v>559</v>
      </c>
      <c r="F25" s="63" t="s">
        <v>612</v>
      </c>
      <c r="G25" s="63"/>
      <c r="H25" s="98">
        <f>SUM(H26:H34)</f>
        <v>-144.344</v>
      </c>
      <c r="I25" s="126"/>
      <c r="J25" s="123"/>
    </row>
    <row r="26" spans="1:10" ht="40.5" customHeight="1">
      <c r="A26" s="101" t="s">
        <v>590</v>
      </c>
      <c r="B26" s="58" t="s">
        <v>613</v>
      </c>
      <c r="C26" s="98">
        <v>1.97</v>
      </c>
      <c r="D26" s="99" t="s">
        <v>614</v>
      </c>
      <c r="E26" s="100" t="s">
        <v>559</v>
      </c>
      <c r="F26" s="102" t="s">
        <v>615</v>
      </c>
      <c r="G26" s="105" t="s">
        <v>616</v>
      </c>
      <c r="H26" s="108">
        <v>-20</v>
      </c>
      <c r="I26" s="124" t="s">
        <v>602</v>
      </c>
      <c r="J26" s="123" t="s">
        <v>603</v>
      </c>
    </row>
    <row r="27" spans="1:10" ht="30" customHeight="1">
      <c r="A27" s="111" t="s">
        <v>590</v>
      </c>
      <c r="B27" s="107" t="s">
        <v>617</v>
      </c>
      <c r="C27" s="106">
        <v>1.6</v>
      </c>
      <c r="D27" s="99" t="s">
        <v>558</v>
      </c>
      <c r="E27" s="100" t="s">
        <v>573</v>
      </c>
      <c r="F27" s="102" t="s">
        <v>582</v>
      </c>
      <c r="G27" s="103" t="s">
        <v>618</v>
      </c>
      <c r="H27" s="108">
        <v>-5</v>
      </c>
      <c r="I27" s="121" t="s">
        <v>565</v>
      </c>
      <c r="J27" s="123" t="s">
        <v>559</v>
      </c>
    </row>
    <row r="28" spans="1:10" ht="42.75" customHeight="1">
      <c r="A28" s="111" t="s">
        <v>574</v>
      </c>
      <c r="B28" s="107" t="s">
        <v>619</v>
      </c>
      <c r="C28" s="106">
        <v>80</v>
      </c>
      <c r="D28" s="112" t="s">
        <v>620</v>
      </c>
      <c r="E28" s="100" t="s">
        <v>573</v>
      </c>
      <c r="F28" s="102" t="s">
        <v>582</v>
      </c>
      <c r="G28" s="105" t="s">
        <v>621</v>
      </c>
      <c r="H28" s="113">
        <v>-0.324</v>
      </c>
      <c r="I28" s="121" t="s">
        <v>565</v>
      </c>
      <c r="J28" s="123" t="s">
        <v>559</v>
      </c>
    </row>
    <row r="29" spans="1:10" ht="30" customHeight="1">
      <c r="A29" s="111" t="s">
        <v>189</v>
      </c>
      <c r="B29" s="107" t="s">
        <v>622</v>
      </c>
      <c r="C29" s="106">
        <v>20</v>
      </c>
      <c r="D29" s="99" t="s">
        <v>558</v>
      </c>
      <c r="E29" s="100" t="s">
        <v>573</v>
      </c>
      <c r="F29" s="105" t="s">
        <v>623</v>
      </c>
      <c r="G29" s="105" t="s">
        <v>624</v>
      </c>
      <c r="H29" s="106">
        <v>-0.04</v>
      </c>
      <c r="I29" s="121" t="s">
        <v>565</v>
      </c>
      <c r="J29" s="123" t="s">
        <v>573</v>
      </c>
    </row>
    <row r="30" spans="1:10" ht="30" customHeight="1">
      <c r="A30" s="111" t="s">
        <v>574</v>
      </c>
      <c r="B30" s="107" t="s">
        <v>625</v>
      </c>
      <c r="C30" s="106">
        <v>20</v>
      </c>
      <c r="D30" s="99" t="s">
        <v>558</v>
      </c>
      <c r="E30" s="100" t="s">
        <v>573</v>
      </c>
      <c r="F30" s="105" t="s">
        <v>626</v>
      </c>
      <c r="G30" s="105" t="s">
        <v>627</v>
      </c>
      <c r="H30" s="106">
        <v>-0.01</v>
      </c>
      <c r="I30" s="121" t="s">
        <v>565</v>
      </c>
      <c r="J30" s="123" t="s">
        <v>573</v>
      </c>
    </row>
    <row r="31" spans="1:10" ht="30" customHeight="1">
      <c r="A31" s="101" t="s">
        <v>556</v>
      </c>
      <c r="B31" s="58" t="s">
        <v>628</v>
      </c>
      <c r="C31" s="113">
        <v>1223</v>
      </c>
      <c r="D31" s="99" t="s">
        <v>558</v>
      </c>
      <c r="E31" s="100" t="s">
        <v>629</v>
      </c>
      <c r="F31" s="105" t="s">
        <v>590</v>
      </c>
      <c r="G31" s="105" t="s">
        <v>630</v>
      </c>
      <c r="H31" s="106">
        <v>-30</v>
      </c>
      <c r="I31" s="121" t="s">
        <v>565</v>
      </c>
      <c r="J31" s="123" t="s">
        <v>573</v>
      </c>
    </row>
    <row r="32" spans="1:10" ht="30" customHeight="1">
      <c r="A32" s="101" t="s">
        <v>631</v>
      </c>
      <c r="B32" s="58" t="s">
        <v>516</v>
      </c>
      <c r="C32" s="113">
        <v>355</v>
      </c>
      <c r="D32" s="99" t="s">
        <v>558</v>
      </c>
      <c r="E32" s="100" t="s">
        <v>629</v>
      </c>
      <c r="F32" s="105" t="s">
        <v>632</v>
      </c>
      <c r="G32" s="105" t="s">
        <v>633</v>
      </c>
      <c r="H32" s="106">
        <v>-18</v>
      </c>
      <c r="I32" s="121" t="s">
        <v>565</v>
      </c>
      <c r="J32" s="123" t="s">
        <v>573</v>
      </c>
    </row>
    <row r="33" spans="1:10" ht="30" customHeight="1">
      <c r="A33" s="101" t="s">
        <v>631</v>
      </c>
      <c r="B33" s="58" t="s">
        <v>634</v>
      </c>
      <c r="C33" s="113">
        <v>107</v>
      </c>
      <c r="D33" s="99" t="s">
        <v>558</v>
      </c>
      <c r="E33" s="100" t="s">
        <v>629</v>
      </c>
      <c r="F33" s="102" t="s">
        <v>560</v>
      </c>
      <c r="G33" s="105" t="s">
        <v>635</v>
      </c>
      <c r="H33" s="98">
        <v>-64</v>
      </c>
      <c r="I33" s="121" t="s">
        <v>565</v>
      </c>
      <c r="J33" s="123" t="s">
        <v>629</v>
      </c>
    </row>
    <row r="34" spans="1:10" ht="30" customHeight="1">
      <c r="A34" s="101" t="s">
        <v>556</v>
      </c>
      <c r="B34" s="107" t="s">
        <v>636</v>
      </c>
      <c r="C34" s="114">
        <v>4.6</v>
      </c>
      <c r="D34" s="99" t="s">
        <v>558</v>
      </c>
      <c r="E34" s="100" t="s">
        <v>603</v>
      </c>
      <c r="F34" s="102" t="s">
        <v>574</v>
      </c>
      <c r="G34" s="105" t="s">
        <v>637</v>
      </c>
      <c r="H34" s="98">
        <v>-6.97</v>
      </c>
      <c r="I34" s="124" t="s">
        <v>638</v>
      </c>
      <c r="J34" s="123" t="s">
        <v>573</v>
      </c>
    </row>
    <row r="35" spans="1:10" ht="30" customHeight="1">
      <c r="A35" s="96" t="s">
        <v>612</v>
      </c>
      <c r="B35" s="97"/>
      <c r="C35" s="115">
        <f>SUM(C36:C76)</f>
        <v>2459.6800000000003</v>
      </c>
      <c r="D35" s="99"/>
      <c r="E35" s="100"/>
      <c r="F35" s="106" t="s">
        <v>639</v>
      </c>
      <c r="G35" s="106"/>
      <c r="H35" s="106">
        <f>SUM(H36:H40)</f>
        <v>-1005.0400000000001</v>
      </c>
      <c r="I35" s="121"/>
      <c r="J35" s="123" t="s">
        <v>562</v>
      </c>
    </row>
    <row r="36" spans="1:10" ht="30" customHeight="1">
      <c r="A36" s="101" t="s">
        <v>587</v>
      </c>
      <c r="B36" s="58" t="s">
        <v>640</v>
      </c>
      <c r="C36" s="108">
        <v>450</v>
      </c>
      <c r="D36" s="99" t="s">
        <v>641</v>
      </c>
      <c r="E36" s="100" t="s">
        <v>559</v>
      </c>
      <c r="F36" s="102" t="s">
        <v>642</v>
      </c>
      <c r="G36" s="103" t="s">
        <v>643</v>
      </c>
      <c r="H36" s="108">
        <v>-4</v>
      </c>
      <c r="I36" s="124" t="s">
        <v>644</v>
      </c>
      <c r="J36" s="123" t="s">
        <v>645</v>
      </c>
    </row>
    <row r="37" spans="1:10" ht="34.5" customHeight="1">
      <c r="A37" s="101" t="s">
        <v>556</v>
      </c>
      <c r="B37" s="58" t="s">
        <v>646</v>
      </c>
      <c r="C37" s="98">
        <v>100</v>
      </c>
      <c r="D37" s="99" t="s">
        <v>647</v>
      </c>
      <c r="E37" s="100" t="s">
        <v>559</v>
      </c>
      <c r="F37" s="102" t="s">
        <v>648</v>
      </c>
      <c r="G37" s="103" t="s">
        <v>649</v>
      </c>
      <c r="H37" s="98">
        <v>-51.12</v>
      </c>
      <c r="I37" s="124" t="s">
        <v>644</v>
      </c>
      <c r="J37" s="125"/>
    </row>
    <row r="38" spans="1:10" ht="34.5" customHeight="1">
      <c r="A38" s="111" t="s">
        <v>623</v>
      </c>
      <c r="B38" s="107" t="s">
        <v>650</v>
      </c>
      <c r="C38" s="106">
        <v>32.57</v>
      </c>
      <c r="D38" s="99" t="s">
        <v>651</v>
      </c>
      <c r="E38" s="100" t="s">
        <v>573</v>
      </c>
      <c r="F38" s="102" t="s">
        <v>648</v>
      </c>
      <c r="G38" s="103" t="s">
        <v>652</v>
      </c>
      <c r="H38" s="98">
        <v>-10.84</v>
      </c>
      <c r="I38" s="124" t="s">
        <v>644</v>
      </c>
      <c r="J38" s="123" t="s">
        <v>603</v>
      </c>
    </row>
    <row r="39" spans="1:10" ht="45.75" customHeight="1">
      <c r="A39" s="111" t="s">
        <v>252</v>
      </c>
      <c r="B39" s="107" t="s">
        <v>653</v>
      </c>
      <c r="C39" s="106">
        <v>20</v>
      </c>
      <c r="D39" s="112" t="s">
        <v>620</v>
      </c>
      <c r="E39" s="100" t="s">
        <v>573</v>
      </c>
      <c r="F39" s="102" t="s">
        <v>648</v>
      </c>
      <c r="G39" s="103" t="s">
        <v>654</v>
      </c>
      <c r="H39" s="98">
        <v>-929.34</v>
      </c>
      <c r="I39" s="124" t="s">
        <v>644</v>
      </c>
      <c r="J39" s="123" t="s">
        <v>603</v>
      </c>
    </row>
    <row r="40" spans="1:10" ht="46.5" customHeight="1">
      <c r="A40" s="111" t="s">
        <v>655</v>
      </c>
      <c r="B40" s="107" t="s">
        <v>656</v>
      </c>
      <c r="C40" s="106">
        <v>17.12</v>
      </c>
      <c r="D40" s="112" t="s">
        <v>620</v>
      </c>
      <c r="E40" s="100" t="s">
        <v>573</v>
      </c>
      <c r="F40" s="102" t="s">
        <v>600</v>
      </c>
      <c r="G40" s="103" t="s">
        <v>657</v>
      </c>
      <c r="H40" s="98">
        <v>-9.74</v>
      </c>
      <c r="I40" s="124" t="s">
        <v>658</v>
      </c>
      <c r="J40" s="123" t="s">
        <v>603</v>
      </c>
    </row>
    <row r="41" spans="1:10" ht="30" customHeight="1">
      <c r="A41" s="111" t="s">
        <v>659</v>
      </c>
      <c r="B41" s="107" t="s">
        <v>660</v>
      </c>
      <c r="C41" s="106">
        <v>10</v>
      </c>
      <c r="D41" s="112" t="s">
        <v>620</v>
      </c>
      <c r="E41" s="100" t="s">
        <v>573</v>
      </c>
      <c r="F41" s="106" t="s">
        <v>661</v>
      </c>
      <c r="G41" s="106"/>
      <c r="H41" s="106">
        <f>SUM(H42:H47)</f>
        <v>-1177.44</v>
      </c>
      <c r="I41" s="126"/>
      <c r="J41" s="123" t="s">
        <v>603</v>
      </c>
    </row>
    <row r="42" spans="1:10" ht="30" customHeight="1">
      <c r="A42" s="111" t="s">
        <v>632</v>
      </c>
      <c r="B42" s="107" t="s">
        <v>662</v>
      </c>
      <c r="C42" s="106">
        <v>60.21</v>
      </c>
      <c r="D42" s="112" t="s">
        <v>620</v>
      </c>
      <c r="E42" s="100" t="s">
        <v>573</v>
      </c>
      <c r="F42" s="105" t="s">
        <v>600</v>
      </c>
      <c r="G42" s="105" t="s">
        <v>663</v>
      </c>
      <c r="H42" s="106">
        <v>-347.21</v>
      </c>
      <c r="I42" s="124" t="s">
        <v>602</v>
      </c>
      <c r="J42" s="123" t="s">
        <v>645</v>
      </c>
    </row>
    <row r="43" spans="1:10" ht="30" customHeight="1">
      <c r="A43" s="111" t="s">
        <v>664</v>
      </c>
      <c r="B43" s="107" t="s">
        <v>665</v>
      </c>
      <c r="C43" s="106">
        <f>70+25</f>
        <v>95</v>
      </c>
      <c r="D43" s="99" t="s">
        <v>651</v>
      </c>
      <c r="E43" s="100" t="s">
        <v>573</v>
      </c>
      <c r="F43" s="105" t="s">
        <v>600</v>
      </c>
      <c r="G43" s="105" t="s">
        <v>666</v>
      </c>
      <c r="H43" s="106">
        <v>-685</v>
      </c>
      <c r="I43" s="124" t="s">
        <v>602</v>
      </c>
      <c r="J43" s="123" t="s">
        <v>573</v>
      </c>
    </row>
    <row r="44" spans="1:10" ht="30" customHeight="1">
      <c r="A44" s="111" t="s">
        <v>664</v>
      </c>
      <c r="B44" s="107" t="s">
        <v>667</v>
      </c>
      <c r="C44" s="106">
        <v>2</v>
      </c>
      <c r="D44" s="99" t="s">
        <v>651</v>
      </c>
      <c r="E44" s="100" t="s">
        <v>573</v>
      </c>
      <c r="F44" s="105" t="s">
        <v>600</v>
      </c>
      <c r="G44" s="103" t="s">
        <v>668</v>
      </c>
      <c r="H44" s="98">
        <v>-20</v>
      </c>
      <c r="I44" s="124" t="s">
        <v>602</v>
      </c>
      <c r="J44" s="125"/>
    </row>
    <row r="45" spans="1:10" ht="33" customHeight="1">
      <c r="A45" s="111" t="s">
        <v>623</v>
      </c>
      <c r="B45" s="107" t="s">
        <v>669</v>
      </c>
      <c r="C45" s="106">
        <v>9</v>
      </c>
      <c r="D45" s="99" t="s">
        <v>651</v>
      </c>
      <c r="E45" s="100" t="s">
        <v>573</v>
      </c>
      <c r="F45" s="102" t="s">
        <v>670</v>
      </c>
      <c r="G45" s="105" t="s">
        <v>671</v>
      </c>
      <c r="H45" s="98">
        <v>-2.7</v>
      </c>
      <c r="I45" s="124" t="s">
        <v>602</v>
      </c>
      <c r="J45" s="123" t="s">
        <v>562</v>
      </c>
    </row>
    <row r="46" spans="1:10" ht="30" customHeight="1">
      <c r="A46" s="111" t="s">
        <v>672</v>
      </c>
      <c r="B46" s="107" t="s">
        <v>673</v>
      </c>
      <c r="C46" s="106">
        <v>8</v>
      </c>
      <c r="D46" s="99" t="s">
        <v>651</v>
      </c>
      <c r="E46" s="100" t="s">
        <v>573</v>
      </c>
      <c r="F46" s="102" t="s">
        <v>674</v>
      </c>
      <c r="G46" s="102" t="s">
        <v>675</v>
      </c>
      <c r="H46" s="98">
        <v>-120</v>
      </c>
      <c r="I46" s="124" t="s">
        <v>602</v>
      </c>
      <c r="J46" s="125"/>
    </row>
    <row r="47" spans="1:10" ht="30" customHeight="1">
      <c r="A47" s="101" t="s">
        <v>582</v>
      </c>
      <c r="B47" s="107" t="s">
        <v>676</v>
      </c>
      <c r="C47" s="108">
        <v>1</v>
      </c>
      <c r="D47" s="99" t="s">
        <v>677</v>
      </c>
      <c r="E47" s="100" t="s">
        <v>573</v>
      </c>
      <c r="F47" s="105" t="s">
        <v>678</v>
      </c>
      <c r="G47" s="105" t="s">
        <v>679</v>
      </c>
      <c r="H47" s="106">
        <v>-2.53</v>
      </c>
      <c r="I47" s="121" t="s">
        <v>565</v>
      </c>
      <c r="J47" s="123" t="s">
        <v>559</v>
      </c>
    </row>
    <row r="48" spans="1:10" ht="30" customHeight="1">
      <c r="A48" s="101" t="s">
        <v>582</v>
      </c>
      <c r="B48" s="107" t="s">
        <v>680</v>
      </c>
      <c r="C48" s="108">
        <v>1</v>
      </c>
      <c r="D48" s="99" t="s">
        <v>677</v>
      </c>
      <c r="E48" s="100" t="s">
        <v>559</v>
      </c>
      <c r="F48" s="106" t="s">
        <v>681</v>
      </c>
      <c r="G48" s="106"/>
      <c r="H48" s="98">
        <f>H49</f>
        <v>-628</v>
      </c>
      <c r="I48" s="126"/>
      <c r="J48" s="123" t="s">
        <v>573</v>
      </c>
    </row>
    <row r="49" spans="1:10" ht="30" customHeight="1">
      <c r="A49" s="101" t="s">
        <v>582</v>
      </c>
      <c r="B49" s="107" t="s">
        <v>682</v>
      </c>
      <c r="C49" s="108">
        <v>2</v>
      </c>
      <c r="D49" s="99" t="s">
        <v>677</v>
      </c>
      <c r="E49" s="100" t="s">
        <v>559</v>
      </c>
      <c r="F49" s="102" t="s">
        <v>683</v>
      </c>
      <c r="G49" s="105" t="s">
        <v>531</v>
      </c>
      <c r="H49" s="98">
        <v>-628</v>
      </c>
      <c r="I49" s="121" t="s">
        <v>565</v>
      </c>
      <c r="J49" s="123" t="s">
        <v>573</v>
      </c>
    </row>
    <row r="50" spans="1:10" ht="30" customHeight="1">
      <c r="A50" s="101" t="s">
        <v>587</v>
      </c>
      <c r="B50" s="107" t="s">
        <v>684</v>
      </c>
      <c r="C50" s="108">
        <v>2</v>
      </c>
      <c r="D50" s="99" t="s">
        <v>677</v>
      </c>
      <c r="E50" s="100" t="s">
        <v>559</v>
      </c>
      <c r="F50" s="106" t="s">
        <v>685</v>
      </c>
      <c r="G50" s="106"/>
      <c r="H50" s="98">
        <f>SUM(H51:H59)</f>
        <v>-905.81</v>
      </c>
      <c r="I50" s="126"/>
      <c r="J50" s="123" t="s">
        <v>573</v>
      </c>
    </row>
    <row r="51" spans="1:10" ht="30" customHeight="1">
      <c r="A51" s="111" t="s">
        <v>560</v>
      </c>
      <c r="B51" s="107" t="s">
        <v>686</v>
      </c>
      <c r="C51" s="106">
        <v>12</v>
      </c>
      <c r="D51" s="99" t="s">
        <v>558</v>
      </c>
      <c r="E51" s="100" t="s">
        <v>559</v>
      </c>
      <c r="F51" s="102" t="s">
        <v>556</v>
      </c>
      <c r="G51" s="105" t="s">
        <v>687</v>
      </c>
      <c r="H51" s="98">
        <v>-19.9</v>
      </c>
      <c r="I51" s="121" t="s">
        <v>565</v>
      </c>
      <c r="J51" s="123" t="s">
        <v>603</v>
      </c>
    </row>
    <row r="52" spans="1:10" ht="30" customHeight="1">
      <c r="A52" s="101" t="s">
        <v>642</v>
      </c>
      <c r="B52" s="58" t="s">
        <v>688</v>
      </c>
      <c r="C52" s="98">
        <v>600</v>
      </c>
      <c r="D52" s="99" t="s">
        <v>677</v>
      </c>
      <c r="E52" s="100" t="s">
        <v>573</v>
      </c>
      <c r="F52" s="105" t="s">
        <v>556</v>
      </c>
      <c r="G52" s="105" t="s">
        <v>689</v>
      </c>
      <c r="H52" s="106">
        <v>-3.91</v>
      </c>
      <c r="I52" s="121" t="s">
        <v>565</v>
      </c>
      <c r="J52" s="123" t="s">
        <v>603</v>
      </c>
    </row>
    <row r="53" spans="1:10" ht="33" customHeight="1">
      <c r="A53" s="111" t="s">
        <v>574</v>
      </c>
      <c r="B53" s="107" t="s">
        <v>690</v>
      </c>
      <c r="C53" s="106">
        <v>225</v>
      </c>
      <c r="D53" s="99" t="s">
        <v>651</v>
      </c>
      <c r="E53" s="100" t="s">
        <v>562</v>
      </c>
      <c r="F53" s="102" t="s">
        <v>556</v>
      </c>
      <c r="G53" s="105" t="s">
        <v>691</v>
      </c>
      <c r="H53" s="106">
        <v>-350</v>
      </c>
      <c r="I53" s="121" t="s">
        <v>692</v>
      </c>
      <c r="J53" s="123" t="s">
        <v>603</v>
      </c>
    </row>
    <row r="54" spans="1:10" ht="30" customHeight="1">
      <c r="A54" s="111" t="s">
        <v>574</v>
      </c>
      <c r="B54" s="107" t="s">
        <v>693</v>
      </c>
      <c r="C54" s="106">
        <v>10</v>
      </c>
      <c r="D54" s="99" t="s">
        <v>651</v>
      </c>
      <c r="E54" s="100" t="s">
        <v>573</v>
      </c>
      <c r="F54" s="102" t="s">
        <v>556</v>
      </c>
      <c r="G54" s="105" t="s">
        <v>694</v>
      </c>
      <c r="H54" s="106">
        <v>-100</v>
      </c>
      <c r="I54" s="121" t="s">
        <v>695</v>
      </c>
      <c r="J54" s="123" t="s">
        <v>562</v>
      </c>
    </row>
    <row r="55" spans="1:10" ht="30" customHeight="1">
      <c r="A55" s="111" t="s">
        <v>574</v>
      </c>
      <c r="B55" s="107" t="s">
        <v>696</v>
      </c>
      <c r="C55" s="106">
        <v>8</v>
      </c>
      <c r="D55" s="99" t="s">
        <v>651</v>
      </c>
      <c r="E55" s="100" t="s">
        <v>573</v>
      </c>
      <c r="F55" s="102" t="s">
        <v>556</v>
      </c>
      <c r="G55" s="105" t="s">
        <v>697</v>
      </c>
      <c r="H55" s="98">
        <v>-40</v>
      </c>
      <c r="I55" s="124" t="s">
        <v>602</v>
      </c>
      <c r="J55" s="123" t="s">
        <v>562</v>
      </c>
    </row>
    <row r="56" spans="1:10" ht="33" customHeight="1">
      <c r="A56" s="111" t="s">
        <v>574</v>
      </c>
      <c r="B56" s="107" t="s">
        <v>698</v>
      </c>
      <c r="C56" s="106">
        <v>20</v>
      </c>
      <c r="D56" s="99" t="s">
        <v>651</v>
      </c>
      <c r="E56" s="100" t="s">
        <v>573</v>
      </c>
      <c r="F56" s="102" t="s">
        <v>556</v>
      </c>
      <c r="G56" s="102" t="s">
        <v>699</v>
      </c>
      <c r="H56" s="98">
        <v>-10</v>
      </c>
      <c r="I56" s="124" t="s">
        <v>602</v>
      </c>
      <c r="J56" s="123"/>
    </row>
    <row r="57" spans="1:10" ht="30" customHeight="1">
      <c r="A57" s="111" t="s">
        <v>574</v>
      </c>
      <c r="B57" s="107" t="s">
        <v>700</v>
      </c>
      <c r="C57" s="106">
        <v>40</v>
      </c>
      <c r="D57" s="99" t="s">
        <v>651</v>
      </c>
      <c r="E57" s="100" t="s">
        <v>573</v>
      </c>
      <c r="F57" s="102" t="s">
        <v>556</v>
      </c>
      <c r="G57" s="103" t="s">
        <v>701</v>
      </c>
      <c r="H57" s="98">
        <v>-10</v>
      </c>
      <c r="I57" s="124" t="s">
        <v>602</v>
      </c>
      <c r="J57" s="123"/>
    </row>
    <row r="58" spans="1:10" ht="30" customHeight="1">
      <c r="A58" s="111" t="s">
        <v>574</v>
      </c>
      <c r="B58" s="107" t="s">
        <v>702</v>
      </c>
      <c r="C58" s="106">
        <v>6.97</v>
      </c>
      <c r="D58" s="99" t="s">
        <v>651</v>
      </c>
      <c r="E58" s="100" t="s">
        <v>573</v>
      </c>
      <c r="F58" s="102" t="s">
        <v>556</v>
      </c>
      <c r="G58" s="103" t="s">
        <v>703</v>
      </c>
      <c r="H58" s="98">
        <v>-272</v>
      </c>
      <c r="I58" s="121" t="s">
        <v>695</v>
      </c>
      <c r="J58" s="123"/>
    </row>
    <row r="59" spans="1:10" ht="34.5" customHeight="1">
      <c r="A59" s="111" t="s">
        <v>704</v>
      </c>
      <c r="B59" s="107" t="s">
        <v>705</v>
      </c>
      <c r="C59" s="106">
        <v>6.5</v>
      </c>
      <c r="D59" s="99" t="s">
        <v>651</v>
      </c>
      <c r="E59" s="100" t="s">
        <v>573</v>
      </c>
      <c r="F59" s="102" t="s">
        <v>556</v>
      </c>
      <c r="G59" s="103" t="s">
        <v>706</v>
      </c>
      <c r="H59" s="98">
        <v>-100</v>
      </c>
      <c r="I59" s="121" t="s">
        <v>565</v>
      </c>
      <c r="J59" s="123"/>
    </row>
    <row r="60" spans="1:10" ht="30" customHeight="1">
      <c r="A60" s="111" t="s">
        <v>704</v>
      </c>
      <c r="B60" s="107" t="s">
        <v>707</v>
      </c>
      <c r="C60" s="106">
        <v>10</v>
      </c>
      <c r="D60" s="99" t="s">
        <v>651</v>
      </c>
      <c r="E60" s="100" t="s">
        <v>573</v>
      </c>
      <c r="F60" s="102"/>
      <c r="G60" s="105"/>
      <c r="H60" s="98"/>
      <c r="I60" s="121"/>
      <c r="J60" s="123"/>
    </row>
    <row r="61" spans="1:10" ht="33" customHeight="1">
      <c r="A61" s="111" t="s">
        <v>708</v>
      </c>
      <c r="B61" s="107" t="s">
        <v>709</v>
      </c>
      <c r="C61" s="106">
        <v>15</v>
      </c>
      <c r="D61" s="99" t="s">
        <v>651</v>
      </c>
      <c r="E61" s="100" t="s">
        <v>573</v>
      </c>
      <c r="F61" s="102"/>
      <c r="G61" s="105"/>
      <c r="H61" s="98"/>
      <c r="I61" s="121"/>
      <c r="J61" s="123"/>
    </row>
    <row r="62" spans="1:10" ht="30" customHeight="1">
      <c r="A62" s="111" t="s">
        <v>623</v>
      </c>
      <c r="B62" s="107" t="s">
        <v>710</v>
      </c>
      <c r="C62" s="106">
        <v>8.7</v>
      </c>
      <c r="D62" s="99" t="s">
        <v>651</v>
      </c>
      <c r="E62" s="100" t="s">
        <v>573</v>
      </c>
      <c r="F62" s="102"/>
      <c r="G62" s="105"/>
      <c r="H62" s="98"/>
      <c r="I62" s="121"/>
      <c r="J62" s="123"/>
    </row>
    <row r="63" spans="1:10" ht="34.5" customHeight="1">
      <c r="A63" s="111" t="s">
        <v>623</v>
      </c>
      <c r="B63" s="107" t="s">
        <v>711</v>
      </c>
      <c r="C63" s="106">
        <v>18</v>
      </c>
      <c r="D63" s="99" t="s">
        <v>651</v>
      </c>
      <c r="E63" s="100" t="s">
        <v>573</v>
      </c>
      <c r="F63" s="102"/>
      <c r="G63" s="105"/>
      <c r="H63" s="98"/>
      <c r="I63" s="121"/>
      <c r="J63" s="123"/>
    </row>
    <row r="64" spans="1:10" ht="30" customHeight="1">
      <c r="A64" s="111" t="s">
        <v>623</v>
      </c>
      <c r="B64" s="107" t="s">
        <v>712</v>
      </c>
      <c r="C64" s="106">
        <v>62.74</v>
      </c>
      <c r="D64" s="99" t="s">
        <v>651</v>
      </c>
      <c r="E64" s="100" t="s">
        <v>573</v>
      </c>
      <c r="F64" s="102"/>
      <c r="G64" s="105"/>
      <c r="H64" s="98"/>
      <c r="I64" s="121"/>
      <c r="J64" s="123"/>
    </row>
    <row r="65" spans="1:10" ht="30" customHeight="1">
      <c r="A65" s="101" t="s">
        <v>713</v>
      </c>
      <c r="B65" s="58" t="s">
        <v>714</v>
      </c>
      <c r="C65" s="106">
        <v>8</v>
      </c>
      <c r="D65" s="99" t="s">
        <v>677</v>
      </c>
      <c r="E65" s="100" t="s">
        <v>629</v>
      </c>
      <c r="F65" s="102"/>
      <c r="G65" s="105"/>
      <c r="H65" s="98"/>
      <c r="I65" s="121"/>
      <c r="J65" s="123"/>
    </row>
    <row r="66" spans="1:10" ht="30" customHeight="1">
      <c r="A66" s="101" t="s">
        <v>715</v>
      </c>
      <c r="B66" s="58" t="s">
        <v>714</v>
      </c>
      <c r="C66" s="113">
        <v>20</v>
      </c>
      <c r="D66" s="99" t="s">
        <v>716</v>
      </c>
      <c r="E66" s="100" t="s">
        <v>629</v>
      </c>
      <c r="F66" s="102"/>
      <c r="G66" s="105"/>
      <c r="H66" s="98"/>
      <c r="I66" s="121"/>
      <c r="J66" s="123"/>
    </row>
    <row r="67" spans="1:10" ht="30" customHeight="1">
      <c r="A67" s="101" t="s">
        <v>717</v>
      </c>
      <c r="B67" s="58" t="s">
        <v>714</v>
      </c>
      <c r="C67" s="113">
        <v>129</v>
      </c>
      <c r="D67" s="99" t="s">
        <v>718</v>
      </c>
      <c r="E67" s="100" t="s">
        <v>629</v>
      </c>
      <c r="F67" s="102"/>
      <c r="G67" s="105"/>
      <c r="H67" s="98"/>
      <c r="I67" s="121"/>
      <c r="J67" s="123"/>
    </row>
    <row r="68" spans="1:10" ht="30" customHeight="1">
      <c r="A68" s="101" t="s">
        <v>719</v>
      </c>
      <c r="B68" s="58" t="s">
        <v>720</v>
      </c>
      <c r="C68" s="113">
        <v>27</v>
      </c>
      <c r="D68" s="99" t="s">
        <v>721</v>
      </c>
      <c r="E68" s="100" t="s">
        <v>629</v>
      </c>
      <c r="F68" s="102"/>
      <c r="G68" s="105"/>
      <c r="H68" s="98"/>
      <c r="I68" s="121"/>
      <c r="J68" s="123"/>
    </row>
    <row r="69" spans="1:10" ht="33" customHeight="1">
      <c r="A69" s="101" t="s">
        <v>595</v>
      </c>
      <c r="B69" s="58" t="s">
        <v>722</v>
      </c>
      <c r="C69" s="98">
        <v>8</v>
      </c>
      <c r="D69" s="112" t="s">
        <v>723</v>
      </c>
      <c r="E69" s="100" t="s">
        <v>724</v>
      </c>
      <c r="F69" s="102"/>
      <c r="G69" s="102"/>
      <c r="H69" s="98"/>
      <c r="I69" s="121"/>
      <c r="J69" s="123"/>
    </row>
    <row r="70" spans="1:10" ht="30" customHeight="1">
      <c r="A70" s="101" t="s">
        <v>725</v>
      </c>
      <c r="B70" s="58" t="s">
        <v>726</v>
      </c>
      <c r="C70" s="98">
        <v>18</v>
      </c>
      <c r="D70" s="112" t="s">
        <v>727</v>
      </c>
      <c r="E70" s="100" t="s">
        <v>724</v>
      </c>
      <c r="F70" s="127"/>
      <c r="G70" s="127"/>
      <c r="H70" s="98"/>
      <c r="I70" s="126"/>
      <c r="J70" s="125"/>
    </row>
    <row r="71" spans="1:10" ht="45.75" customHeight="1">
      <c r="A71" s="101" t="s">
        <v>556</v>
      </c>
      <c r="B71" s="58" t="s">
        <v>728</v>
      </c>
      <c r="C71" s="114">
        <v>16</v>
      </c>
      <c r="D71" s="112" t="s">
        <v>729</v>
      </c>
      <c r="E71" s="100" t="s">
        <v>603</v>
      </c>
      <c r="F71" s="127"/>
      <c r="G71" s="127"/>
      <c r="H71" s="98"/>
      <c r="I71" s="126"/>
      <c r="J71" s="125"/>
    </row>
    <row r="72" spans="1:10" ht="33" customHeight="1">
      <c r="A72" s="111" t="s">
        <v>600</v>
      </c>
      <c r="B72" s="107" t="s">
        <v>730</v>
      </c>
      <c r="C72" s="114">
        <v>5.2</v>
      </c>
      <c r="D72" s="112" t="s">
        <v>731</v>
      </c>
      <c r="E72" s="100" t="s">
        <v>603</v>
      </c>
      <c r="F72" s="102"/>
      <c r="G72" s="103"/>
      <c r="H72" s="98"/>
      <c r="I72" s="124"/>
      <c r="J72" s="123"/>
    </row>
    <row r="73" spans="1:10" ht="33" customHeight="1">
      <c r="A73" s="111" t="s">
        <v>600</v>
      </c>
      <c r="B73" s="107" t="s">
        <v>732</v>
      </c>
      <c r="C73" s="114">
        <v>40</v>
      </c>
      <c r="D73" s="112" t="s">
        <v>733</v>
      </c>
      <c r="E73" s="100" t="s">
        <v>603</v>
      </c>
      <c r="F73" s="102"/>
      <c r="G73" s="128"/>
      <c r="H73" s="108"/>
      <c r="I73" s="124"/>
      <c r="J73" s="123"/>
    </row>
    <row r="74" spans="1:10" ht="33" customHeight="1">
      <c r="A74" s="111" t="s">
        <v>600</v>
      </c>
      <c r="B74" s="107" t="s">
        <v>734</v>
      </c>
      <c r="C74" s="114">
        <v>65.67</v>
      </c>
      <c r="D74" s="112" t="s">
        <v>735</v>
      </c>
      <c r="E74" s="100" t="s">
        <v>603</v>
      </c>
      <c r="F74" s="102"/>
      <c r="G74" s="128"/>
      <c r="H74" s="108"/>
      <c r="I74" s="124"/>
      <c r="J74" s="123"/>
    </row>
    <row r="75" spans="1:10" ht="33" customHeight="1">
      <c r="A75" s="111" t="s">
        <v>600</v>
      </c>
      <c r="B75" s="58" t="s">
        <v>736</v>
      </c>
      <c r="C75" s="115">
        <v>60</v>
      </c>
      <c r="D75" s="112" t="s">
        <v>737</v>
      </c>
      <c r="E75" s="100" t="s">
        <v>603</v>
      </c>
      <c r="F75" s="102"/>
      <c r="G75" s="128"/>
      <c r="H75" s="108"/>
      <c r="I75" s="124"/>
      <c r="J75" s="123"/>
    </row>
    <row r="76" spans="1:10" ht="33" customHeight="1">
      <c r="A76" s="101" t="s">
        <v>556</v>
      </c>
      <c r="B76" s="107" t="s">
        <v>738</v>
      </c>
      <c r="C76" s="106">
        <v>210</v>
      </c>
      <c r="D76" s="99" t="s">
        <v>739</v>
      </c>
      <c r="E76" s="100" t="s">
        <v>740</v>
      </c>
      <c r="F76" s="102"/>
      <c r="G76" s="128"/>
      <c r="H76" s="108"/>
      <c r="I76" s="124"/>
      <c r="J76" s="123"/>
    </row>
    <row r="77" spans="1:10" ht="33" customHeight="1">
      <c r="A77" s="96" t="s">
        <v>741</v>
      </c>
      <c r="B77" s="97"/>
      <c r="C77" s="114">
        <f>C78</f>
        <v>30</v>
      </c>
      <c r="D77" s="112"/>
      <c r="E77" s="100"/>
      <c r="F77" s="102"/>
      <c r="G77" s="128"/>
      <c r="H77" s="108"/>
      <c r="I77" s="124"/>
      <c r="J77" s="123"/>
    </row>
    <row r="78" spans="1:10" ht="30" customHeight="1">
      <c r="A78" s="101" t="s">
        <v>556</v>
      </c>
      <c r="B78" s="107" t="s">
        <v>742</v>
      </c>
      <c r="C78" s="106">
        <v>30</v>
      </c>
      <c r="D78" s="99" t="s">
        <v>651</v>
      </c>
      <c r="E78" s="100" t="s">
        <v>573</v>
      </c>
      <c r="F78" s="102"/>
      <c r="G78" s="128"/>
      <c r="H78" s="108"/>
      <c r="I78" s="124"/>
      <c r="J78" s="123"/>
    </row>
    <row r="79" spans="1:10" ht="30" customHeight="1">
      <c r="A79" s="96" t="s">
        <v>661</v>
      </c>
      <c r="B79" s="97"/>
      <c r="C79" s="98">
        <f>SUM(C80:C95)</f>
        <v>1226.4899999999998</v>
      </c>
      <c r="D79" s="129"/>
      <c r="E79" s="130"/>
      <c r="F79" s="102"/>
      <c r="G79" s="128"/>
      <c r="H79" s="108"/>
      <c r="I79" s="124"/>
      <c r="J79" s="123"/>
    </row>
    <row r="80" spans="1:10" ht="30" customHeight="1">
      <c r="A80" s="101" t="s">
        <v>595</v>
      </c>
      <c r="B80" s="107" t="s">
        <v>743</v>
      </c>
      <c r="C80" s="106">
        <v>18</v>
      </c>
      <c r="D80" s="99" t="s">
        <v>651</v>
      </c>
      <c r="E80" s="100" t="s">
        <v>740</v>
      </c>
      <c r="F80" s="102"/>
      <c r="G80" s="128"/>
      <c r="H80" s="108"/>
      <c r="I80" s="124"/>
      <c r="J80" s="123"/>
    </row>
    <row r="81" spans="1:10" ht="30" customHeight="1">
      <c r="A81" s="101" t="s">
        <v>744</v>
      </c>
      <c r="B81" s="107" t="s">
        <v>745</v>
      </c>
      <c r="C81" s="106">
        <v>80</v>
      </c>
      <c r="D81" s="99" t="s">
        <v>651</v>
      </c>
      <c r="E81" s="100" t="s">
        <v>740</v>
      </c>
      <c r="F81" s="102"/>
      <c r="G81" s="105"/>
      <c r="H81" s="98"/>
      <c r="I81" s="121"/>
      <c r="J81" s="123"/>
    </row>
    <row r="82" spans="1:10" ht="30" customHeight="1">
      <c r="A82" s="111" t="s">
        <v>678</v>
      </c>
      <c r="B82" s="107" t="s">
        <v>746</v>
      </c>
      <c r="C82" s="106">
        <v>15</v>
      </c>
      <c r="D82" s="99" t="s">
        <v>651</v>
      </c>
      <c r="E82" s="100" t="s">
        <v>573</v>
      </c>
      <c r="F82" s="102"/>
      <c r="G82" s="105"/>
      <c r="H82" s="98"/>
      <c r="I82" s="121"/>
      <c r="J82" s="123"/>
    </row>
    <row r="83" spans="1:10" ht="30" customHeight="1">
      <c r="A83" s="101" t="s">
        <v>631</v>
      </c>
      <c r="B83" s="58" t="s">
        <v>747</v>
      </c>
      <c r="C83" s="113">
        <v>1.1</v>
      </c>
      <c r="D83" s="99" t="s">
        <v>558</v>
      </c>
      <c r="E83" s="100" t="s">
        <v>629</v>
      </c>
      <c r="F83" s="102"/>
      <c r="G83" s="105"/>
      <c r="H83" s="98"/>
      <c r="I83" s="121"/>
      <c r="J83" s="123"/>
    </row>
    <row r="84" spans="1:10" ht="30" customHeight="1">
      <c r="A84" s="101" t="s">
        <v>615</v>
      </c>
      <c r="B84" s="107" t="s">
        <v>748</v>
      </c>
      <c r="C84" s="114">
        <v>125.3</v>
      </c>
      <c r="D84" s="112" t="s">
        <v>749</v>
      </c>
      <c r="E84" s="100" t="s">
        <v>603</v>
      </c>
      <c r="F84" s="105"/>
      <c r="G84" s="105"/>
      <c r="H84" s="106"/>
      <c r="I84" s="124"/>
      <c r="J84" s="123"/>
    </row>
    <row r="85" spans="1:10" ht="39" customHeight="1">
      <c r="A85" s="101" t="s">
        <v>615</v>
      </c>
      <c r="B85" s="107" t="s">
        <v>750</v>
      </c>
      <c r="C85" s="114">
        <v>10.37</v>
      </c>
      <c r="D85" s="112" t="s">
        <v>751</v>
      </c>
      <c r="E85" s="100" t="s">
        <v>603</v>
      </c>
      <c r="F85" s="105"/>
      <c r="G85" s="105"/>
      <c r="H85" s="106"/>
      <c r="I85" s="124"/>
      <c r="J85" s="123"/>
    </row>
    <row r="86" spans="1:10" ht="30" customHeight="1">
      <c r="A86" s="101" t="s">
        <v>615</v>
      </c>
      <c r="B86" s="107" t="s">
        <v>752</v>
      </c>
      <c r="C86" s="114">
        <v>6</v>
      </c>
      <c r="D86" s="99" t="s">
        <v>651</v>
      </c>
      <c r="E86" s="100" t="s">
        <v>603</v>
      </c>
      <c r="F86" s="105"/>
      <c r="G86" s="105"/>
      <c r="H86" s="106"/>
      <c r="I86" s="124"/>
      <c r="J86" s="123"/>
    </row>
    <row r="87" spans="1:10" ht="33.75" customHeight="1">
      <c r="A87" s="111" t="s">
        <v>600</v>
      </c>
      <c r="B87" s="107" t="s">
        <v>753</v>
      </c>
      <c r="C87" s="114">
        <v>20</v>
      </c>
      <c r="D87" s="112" t="s">
        <v>754</v>
      </c>
      <c r="E87" s="100" t="s">
        <v>603</v>
      </c>
      <c r="F87" s="105"/>
      <c r="G87" s="105"/>
      <c r="H87" s="106"/>
      <c r="I87" s="124"/>
      <c r="J87" s="123"/>
    </row>
    <row r="88" spans="1:10" ht="33" customHeight="1">
      <c r="A88" s="111" t="s">
        <v>600</v>
      </c>
      <c r="B88" s="107" t="s">
        <v>755</v>
      </c>
      <c r="C88" s="115">
        <v>167.66</v>
      </c>
      <c r="D88" s="112" t="s">
        <v>756</v>
      </c>
      <c r="E88" s="100" t="s">
        <v>603</v>
      </c>
      <c r="F88" s="105"/>
      <c r="G88" s="105"/>
      <c r="H88" s="106"/>
      <c r="I88" s="124"/>
      <c r="J88" s="123"/>
    </row>
    <row r="89" spans="1:10" ht="30" customHeight="1">
      <c r="A89" s="111" t="s">
        <v>192</v>
      </c>
      <c r="B89" s="107" t="s">
        <v>757</v>
      </c>
      <c r="C89" s="106">
        <v>50</v>
      </c>
      <c r="D89" s="112" t="s">
        <v>620</v>
      </c>
      <c r="E89" s="100" t="s">
        <v>573</v>
      </c>
      <c r="F89" s="105"/>
      <c r="G89" s="105"/>
      <c r="H89" s="106"/>
      <c r="I89" s="124"/>
      <c r="J89" s="123"/>
    </row>
    <row r="90" spans="1:10" ht="30" customHeight="1">
      <c r="A90" s="111" t="s">
        <v>192</v>
      </c>
      <c r="B90" s="107" t="s">
        <v>758</v>
      </c>
      <c r="C90" s="106">
        <v>185.65</v>
      </c>
      <c r="D90" s="112" t="s">
        <v>620</v>
      </c>
      <c r="E90" s="100" t="s">
        <v>573</v>
      </c>
      <c r="F90" s="105"/>
      <c r="G90" s="105"/>
      <c r="H90" s="106"/>
      <c r="I90" s="124"/>
      <c r="J90" s="123"/>
    </row>
    <row r="91" spans="1:10" ht="30" customHeight="1">
      <c r="A91" s="111" t="s">
        <v>192</v>
      </c>
      <c r="B91" s="107" t="s">
        <v>759</v>
      </c>
      <c r="C91" s="106">
        <v>98.8</v>
      </c>
      <c r="D91" s="112" t="s">
        <v>620</v>
      </c>
      <c r="E91" s="100" t="s">
        <v>573</v>
      </c>
      <c r="F91" s="105"/>
      <c r="G91" s="105"/>
      <c r="H91" s="106"/>
      <c r="I91" s="124"/>
      <c r="J91" s="123"/>
    </row>
    <row r="92" spans="1:10" ht="30" customHeight="1">
      <c r="A92" s="101" t="s">
        <v>574</v>
      </c>
      <c r="B92" s="58" t="s">
        <v>760</v>
      </c>
      <c r="C92" s="98">
        <v>250</v>
      </c>
      <c r="D92" s="99" t="s">
        <v>651</v>
      </c>
      <c r="E92" s="100" t="s">
        <v>724</v>
      </c>
      <c r="F92" s="105"/>
      <c r="G92" s="105"/>
      <c r="H92" s="106"/>
      <c r="I92" s="124"/>
      <c r="J92" s="123"/>
    </row>
    <row r="93" spans="1:10" ht="30" customHeight="1">
      <c r="A93" s="111" t="s">
        <v>678</v>
      </c>
      <c r="B93" s="107" t="s">
        <v>761</v>
      </c>
      <c r="C93" s="106">
        <v>28.82</v>
      </c>
      <c r="D93" s="112" t="s">
        <v>620</v>
      </c>
      <c r="E93" s="100" t="s">
        <v>573</v>
      </c>
      <c r="F93" s="105"/>
      <c r="G93" s="105"/>
      <c r="H93" s="106"/>
      <c r="I93" s="124"/>
      <c r="J93" s="123"/>
    </row>
    <row r="94" spans="1:10" ht="30" customHeight="1">
      <c r="A94" s="101" t="s">
        <v>715</v>
      </c>
      <c r="B94" s="58" t="s">
        <v>762</v>
      </c>
      <c r="C94" s="98">
        <v>79.79</v>
      </c>
      <c r="D94" s="99" t="s">
        <v>651</v>
      </c>
      <c r="E94" s="100" t="s">
        <v>645</v>
      </c>
      <c r="F94" s="105"/>
      <c r="G94" s="105"/>
      <c r="H94" s="98"/>
      <c r="I94" s="124"/>
      <c r="J94" s="123"/>
    </row>
    <row r="95" spans="1:10" ht="30" customHeight="1">
      <c r="A95" s="101" t="s">
        <v>715</v>
      </c>
      <c r="B95" s="58" t="s">
        <v>763</v>
      </c>
      <c r="C95" s="98">
        <v>90</v>
      </c>
      <c r="D95" s="99" t="s">
        <v>651</v>
      </c>
      <c r="E95" s="100" t="s">
        <v>645</v>
      </c>
      <c r="F95" s="105"/>
      <c r="G95" s="102"/>
      <c r="H95" s="98"/>
      <c r="I95" s="124"/>
      <c r="J95" s="123"/>
    </row>
    <row r="96" spans="1:10" ht="30" customHeight="1">
      <c r="A96" s="96" t="s">
        <v>764</v>
      </c>
      <c r="B96" s="97" t="s">
        <v>764</v>
      </c>
      <c r="C96" s="98">
        <f>SUM(C97:C102)</f>
        <v>487.57309999999995</v>
      </c>
      <c r="D96" s="129"/>
      <c r="E96" s="130"/>
      <c r="F96" s="105"/>
      <c r="G96" s="103"/>
      <c r="H96" s="98"/>
      <c r="I96" s="124"/>
      <c r="J96" s="123"/>
    </row>
    <row r="97" spans="1:10" ht="36" customHeight="1">
      <c r="A97" s="111" t="s">
        <v>600</v>
      </c>
      <c r="B97" s="58" t="s">
        <v>765</v>
      </c>
      <c r="C97" s="106">
        <v>200</v>
      </c>
      <c r="D97" s="99" t="s">
        <v>766</v>
      </c>
      <c r="E97" s="100" t="s">
        <v>603</v>
      </c>
      <c r="F97" s="105"/>
      <c r="G97" s="103"/>
      <c r="H97" s="98"/>
      <c r="I97" s="124"/>
      <c r="J97" s="123"/>
    </row>
    <row r="98" spans="1:10" ht="45.75" customHeight="1">
      <c r="A98" s="111" t="s">
        <v>600</v>
      </c>
      <c r="B98" s="58" t="s">
        <v>767</v>
      </c>
      <c r="C98" s="106">
        <v>1</v>
      </c>
      <c r="D98" s="99" t="s">
        <v>766</v>
      </c>
      <c r="E98" s="100" t="s">
        <v>603</v>
      </c>
      <c r="F98" s="105"/>
      <c r="G98" s="103"/>
      <c r="H98" s="98"/>
      <c r="I98" s="124"/>
      <c r="J98" s="123"/>
    </row>
    <row r="99" spans="1:10" ht="36" customHeight="1">
      <c r="A99" s="111" t="s">
        <v>600</v>
      </c>
      <c r="B99" s="107" t="s">
        <v>768</v>
      </c>
      <c r="C99" s="106">
        <v>5</v>
      </c>
      <c r="D99" s="99" t="s">
        <v>766</v>
      </c>
      <c r="E99" s="100" t="s">
        <v>603</v>
      </c>
      <c r="F99" s="105"/>
      <c r="G99" s="103"/>
      <c r="H99" s="98"/>
      <c r="I99" s="124"/>
      <c r="J99" s="123"/>
    </row>
    <row r="100" spans="1:10" ht="33" customHeight="1">
      <c r="A100" s="111" t="s">
        <v>600</v>
      </c>
      <c r="B100" s="58" t="s">
        <v>769</v>
      </c>
      <c r="C100" s="114">
        <v>0.67</v>
      </c>
      <c r="D100" s="99" t="s">
        <v>766</v>
      </c>
      <c r="E100" s="100"/>
      <c r="F100" s="105"/>
      <c r="G100" s="103"/>
      <c r="H100" s="98"/>
      <c r="I100" s="124"/>
      <c r="J100" s="123"/>
    </row>
    <row r="101" spans="1:10" ht="45" customHeight="1">
      <c r="A101" s="101" t="s">
        <v>597</v>
      </c>
      <c r="B101" s="107" t="s">
        <v>770</v>
      </c>
      <c r="C101" s="106">
        <v>33.9031</v>
      </c>
      <c r="D101" s="99" t="s">
        <v>766</v>
      </c>
      <c r="E101" s="100" t="s">
        <v>559</v>
      </c>
      <c r="F101" s="127"/>
      <c r="G101" s="127"/>
      <c r="H101" s="98"/>
      <c r="I101" s="126"/>
      <c r="J101" s="125"/>
    </row>
    <row r="102" spans="1:10" ht="48.75" customHeight="1">
      <c r="A102" s="101" t="s">
        <v>597</v>
      </c>
      <c r="B102" s="107" t="s">
        <v>771</v>
      </c>
      <c r="C102" s="106">
        <v>247</v>
      </c>
      <c r="D102" s="99" t="s">
        <v>766</v>
      </c>
      <c r="E102" s="100" t="s">
        <v>559</v>
      </c>
      <c r="F102" s="127"/>
      <c r="G102" s="127"/>
      <c r="H102" s="98"/>
      <c r="I102" s="126"/>
      <c r="J102" s="125"/>
    </row>
    <row r="103" spans="1:10" ht="30" customHeight="1">
      <c r="A103" s="96" t="s">
        <v>685</v>
      </c>
      <c r="B103" s="97"/>
      <c r="C103" s="106">
        <f>C104</f>
        <v>1100</v>
      </c>
      <c r="D103" s="129"/>
      <c r="E103" s="130"/>
      <c r="F103" s="127"/>
      <c r="G103" s="127"/>
      <c r="H103" s="98"/>
      <c r="I103" s="126"/>
      <c r="J103" s="125"/>
    </row>
    <row r="104" spans="1:10" ht="30" customHeight="1">
      <c r="A104" s="131" t="s">
        <v>556</v>
      </c>
      <c r="B104" s="132" t="s">
        <v>772</v>
      </c>
      <c r="C104" s="133">
        <v>1100</v>
      </c>
      <c r="D104" s="134" t="s">
        <v>729</v>
      </c>
      <c r="E104" s="135" t="s">
        <v>773</v>
      </c>
      <c r="F104" s="136"/>
      <c r="G104" s="136"/>
      <c r="H104" s="133"/>
      <c r="I104" s="137"/>
      <c r="J104" s="123"/>
    </row>
  </sheetData>
  <sheetProtection/>
  <autoFilter ref="A6:L104"/>
  <mergeCells count="21">
    <mergeCell ref="A2:I2"/>
    <mergeCell ref="I4:J4"/>
    <mergeCell ref="A5:D5"/>
    <mergeCell ref="F5:I5"/>
    <mergeCell ref="A7:B7"/>
    <mergeCell ref="F7:G7"/>
    <mergeCell ref="A8:B8"/>
    <mergeCell ref="F8:G8"/>
    <mergeCell ref="F12:G12"/>
    <mergeCell ref="A14:B14"/>
    <mergeCell ref="F25:G25"/>
    <mergeCell ref="A35:B35"/>
    <mergeCell ref="F35:G35"/>
    <mergeCell ref="F41:G41"/>
    <mergeCell ref="F48:G48"/>
    <mergeCell ref="F50:G50"/>
    <mergeCell ref="A77:B77"/>
    <mergeCell ref="A79:B79"/>
    <mergeCell ref="A96:B96"/>
    <mergeCell ref="A103:B103"/>
    <mergeCell ref="C22:C23"/>
  </mergeCells>
  <printOptions/>
  <pageMargins left="0.47" right="0.31" top="0.35" bottom="0.7" header="0.16" footer="0.2"/>
  <pageSetup fitToHeight="0" horizontalDpi="600" verticalDpi="600" orientation="landscape" paperSize="9"/>
  <headerFooter scaleWithDoc="0" alignWithMargins="0">
    <oddFooter>&amp;C第 &amp;P 页，共 &amp;N 页</oddFooter>
  </headerFooter>
  <rowBreaks count="1" manualBreakCount="1">
    <brk id="17" max="8" man="1"/>
  </rowBreaks>
</worksheet>
</file>

<file path=xl/worksheets/sheet5.xml><?xml version="1.0" encoding="utf-8"?>
<worksheet xmlns="http://schemas.openxmlformats.org/spreadsheetml/2006/main" xmlns:r="http://schemas.openxmlformats.org/officeDocument/2006/relationships">
  <sheetPr>
    <pageSetUpPr fitToPage="1"/>
  </sheetPr>
  <dimension ref="A1:AQ26"/>
  <sheetViews>
    <sheetView workbookViewId="0" topLeftCell="A1">
      <pane ySplit="7" topLeftCell="BM8" activePane="bottomLeft" state="frozen"/>
      <selection pane="bottomLeft" activeCell="H8" sqref="H8"/>
    </sheetView>
  </sheetViews>
  <sheetFormatPr defaultColWidth="9.00390625" defaultRowHeight="14.25"/>
  <cols>
    <col min="1" max="1" width="18.25390625" style="41" customWidth="1"/>
    <col min="2" max="2" width="6.875" style="42" customWidth="1"/>
    <col min="3" max="3" width="6.625" style="42" customWidth="1"/>
    <col min="4" max="7" width="6.75390625" style="43" customWidth="1"/>
    <col min="8" max="8" width="6.375" style="43" customWidth="1"/>
    <col min="9" max="9" width="5.875" style="43" customWidth="1"/>
    <col min="10" max="10" width="5.50390625" style="43" customWidth="1"/>
    <col min="11" max="11" width="6.125" style="43" customWidth="1"/>
    <col min="12" max="12" width="5.875" style="43" customWidth="1"/>
    <col min="13" max="13" width="6.125" style="43" customWidth="1"/>
    <col min="14" max="14" width="5.875" style="43" customWidth="1"/>
    <col min="15" max="15" width="6.125" style="43" customWidth="1"/>
    <col min="16" max="16" width="6.25390625" style="43" customWidth="1"/>
    <col min="17" max="17" width="6.00390625" style="43" customWidth="1"/>
    <col min="18" max="18" width="5.75390625" style="43" customWidth="1"/>
    <col min="19" max="19" width="6.25390625" style="42" customWidth="1"/>
    <col min="20" max="20" width="6.25390625" style="43" customWidth="1"/>
    <col min="21" max="23" width="5.875" style="43" customWidth="1"/>
    <col min="24" max="24" width="5.75390625" style="43" customWidth="1"/>
    <col min="25" max="26" width="6.00390625" style="43" customWidth="1"/>
    <col min="27" max="27" width="6.125" style="43" customWidth="1"/>
    <col min="28" max="30" width="6.25390625" style="43" customWidth="1"/>
    <col min="31" max="31" width="6.375" style="43" customWidth="1"/>
    <col min="32" max="32" width="6.75390625" style="43" customWidth="1"/>
    <col min="33" max="33" width="6.375" style="43" customWidth="1"/>
    <col min="34" max="35" width="6.75390625" style="43" customWidth="1"/>
    <col min="36" max="36" width="6.25390625" style="43" customWidth="1"/>
    <col min="37" max="37" width="6.375" style="43" customWidth="1"/>
    <col min="38" max="38" width="6.75390625" style="43" customWidth="1"/>
    <col min="39" max="39" width="7.50390625" style="43" customWidth="1"/>
    <col min="40" max="40" width="7.75390625" style="43" customWidth="1"/>
    <col min="41" max="41" width="7.625" style="43" customWidth="1"/>
    <col min="42" max="42" width="7.875" style="43" customWidth="1"/>
    <col min="43" max="43" width="7.875" style="41" customWidth="1"/>
    <col min="44" max="16384" width="9.00390625" style="41" customWidth="1"/>
  </cols>
  <sheetData>
    <row r="1" ht="27" customHeight="1">
      <c r="A1" s="44" t="s">
        <v>774</v>
      </c>
    </row>
    <row r="2" spans="1:43" ht="25.5">
      <c r="A2" s="45" t="s">
        <v>775</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row>
    <row r="3" ht="12"/>
    <row r="4" ht="21" customHeight="1">
      <c r="AP4" s="70" t="s">
        <v>7</v>
      </c>
    </row>
    <row r="5" spans="1:43" s="39" customFormat="1" ht="21.75" customHeight="1">
      <c r="A5" s="46" t="s">
        <v>8</v>
      </c>
      <c r="B5" s="47" t="s">
        <v>776</v>
      </c>
      <c r="C5" s="48"/>
      <c r="D5" s="48"/>
      <c r="E5" s="48"/>
      <c r="F5" s="48"/>
      <c r="G5" s="49"/>
      <c r="H5" s="50" t="s">
        <v>777</v>
      </c>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71"/>
      <c r="AQ5" s="46" t="s">
        <v>13</v>
      </c>
    </row>
    <row r="6" spans="1:43" s="39" customFormat="1" ht="24" customHeight="1">
      <c r="A6" s="51"/>
      <c r="B6" s="47" t="s">
        <v>778</v>
      </c>
      <c r="C6" s="48"/>
      <c r="D6" s="49"/>
      <c r="E6" s="52" t="s">
        <v>779</v>
      </c>
      <c r="F6" s="53"/>
      <c r="G6" s="54"/>
      <c r="H6" s="55" t="s">
        <v>780</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t="s">
        <v>781</v>
      </c>
      <c r="AO6" s="55" t="s">
        <v>782</v>
      </c>
      <c r="AP6" s="55" t="s">
        <v>74</v>
      </c>
      <c r="AQ6" s="51"/>
    </row>
    <row r="7" spans="1:43" s="39" customFormat="1" ht="106.5" customHeight="1">
      <c r="A7" s="56"/>
      <c r="B7" s="57" t="s">
        <v>783</v>
      </c>
      <c r="C7" s="57" t="s">
        <v>784</v>
      </c>
      <c r="D7" s="57" t="s">
        <v>74</v>
      </c>
      <c r="E7" s="57" t="s">
        <v>783</v>
      </c>
      <c r="F7" s="57" t="s">
        <v>784</v>
      </c>
      <c r="G7" s="57" t="s">
        <v>74</v>
      </c>
      <c r="H7" s="55" t="s">
        <v>785</v>
      </c>
      <c r="I7" s="55" t="s">
        <v>786</v>
      </c>
      <c r="J7" s="55" t="s">
        <v>787</v>
      </c>
      <c r="K7" s="55" t="s">
        <v>788</v>
      </c>
      <c r="L7" s="55" t="s">
        <v>789</v>
      </c>
      <c r="M7" s="55" t="s">
        <v>790</v>
      </c>
      <c r="N7" s="55" t="s">
        <v>791</v>
      </c>
      <c r="O7" s="55" t="s">
        <v>792</v>
      </c>
      <c r="P7" s="55" t="s">
        <v>793</v>
      </c>
      <c r="Q7" s="55" t="s">
        <v>794</v>
      </c>
      <c r="R7" s="55" t="s">
        <v>795</v>
      </c>
      <c r="S7" s="55" t="s">
        <v>796</v>
      </c>
      <c r="T7" s="55" t="s">
        <v>797</v>
      </c>
      <c r="U7" s="55" t="s">
        <v>798</v>
      </c>
      <c r="V7" s="55" t="s">
        <v>286</v>
      </c>
      <c r="W7" s="55" t="s">
        <v>799</v>
      </c>
      <c r="X7" s="55" t="s">
        <v>800</v>
      </c>
      <c r="Y7" s="55" t="s">
        <v>514</v>
      </c>
      <c r="Z7" s="55" t="s">
        <v>801</v>
      </c>
      <c r="AA7" s="55" t="s">
        <v>802</v>
      </c>
      <c r="AB7" s="55" t="s">
        <v>803</v>
      </c>
      <c r="AC7" s="55" t="s">
        <v>804</v>
      </c>
      <c r="AD7" s="55" t="s">
        <v>805</v>
      </c>
      <c r="AE7" s="55" t="s">
        <v>806</v>
      </c>
      <c r="AF7" s="55" t="s">
        <v>807</v>
      </c>
      <c r="AG7" s="55" t="s">
        <v>808</v>
      </c>
      <c r="AH7" s="55" t="s">
        <v>809</v>
      </c>
      <c r="AI7" s="55" t="s">
        <v>522</v>
      </c>
      <c r="AJ7" s="55" t="s">
        <v>810</v>
      </c>
      <c r="AK7" s="55" t="s">
        <v>811</v>
      </c>
      <c r="AL7" s="55" t="s">
        <v>812</v>
      </c>
      <c r="AM7" s="55" t="s">
        <v>75</v>
      </c>
      <c r="AN7" s="55"/>
      <c r="AO7" s="55"/>
      <c r="AP7" s="55"/>
      <c r="AQ7" s="56"/>
    </row>
    <row r="8" spans="1:43" s="39" customFormat="1" ht="42" customHeight="1">
      <c r="A8" s="58" t="s">
        <v>813</v>
      </c>
      <c r="B8" s="59">
        <v>525</v>
      </c>
      <c r="C8" s="59"/>
      <c r="D8" s="59">
        <f aca="true" t="shared" si="0" ref="D8:D22">B8+C8</f>
        <v>525</v>
      </c>
      <c r="E8" s="59">
        <v>525</v>
      </c>
      <c r="F8" s="59"/>
      <c r="G8" s="59">
        <f aca="true" t="shared" si="1" ref="G8:G21">+E8+F8</f>
        <v>525</v>
      </c>
      <c r="H8" s="59"/>
      <c r="I8" s="59"/>
      <c r="J8" s="59"/>
      <c r="K8" s="59"/>
      <c r="L8" s="59"/>
      <c r="M8" s="59"/>
      <c r="N8" s="59"/>
      <c r="O8" s="59"/>
      <c r="P8" s="59"/>
      <c r="Q8" s="59"/>
      <c r="R8" s="59"/>
      <c r="S8" s="59"/>
      <c r="T8" s="59"/>
      <c r="U8" s="59"/>
      <c r="V8" s="59">
        <v>20</v>
      </c>
      <c r="W8" s="59">
        <v>172</v>
      </c>
      <c r="X8" s="59"/>
      <c r="Y8" s="59"/>
      <c r="Z8" s="59">
        <v>43</v>
      </c>
      <c r="AA8" s="59">
        <v>24</v>
      </c>
      <c r="AB8" s="59">
        <v>22</v>
      </c>
      <c r="AC8" s="59"/>
      <c r="AD8" s="59"/>
      <c r="AE8" s="59">
        <v>38</v>
      </c>
      <c r="AF8" s="59">
        <v>96</v>
      </c>
      <c r="AG8" s="59"/>
      <c r="AH8" s="59">
        <v>110</v>
      </c>
      <c r="AI8" s="59"/>
      <c r="AJ8" s="59"/>
      <c r="AK8" s="59"/>
      <c r="AL8" s="59"/>
      <c r="AM8" s="59">
        <f aca="true" t="shared" si="2" ref="AM8:AM21">SUM(H8:AL8)</f>
        <v>525</v>
      </c>
      <c r="AN8" s="59"/>
      <c r="AO8" s="59"/>
      <c r="AP8" s="59">
        <f aca="true" t="shared" si="3" ref="AP8:AP21">AM8+AN8+AO8</f>
        <v>525</v>
      </c>
      <c r="AQ8" s="58" t="s">
        <v>814</v>
      </c>
    </row>
    <row r="9" spans="1:43" s="39" customFormat="1" ht="42" customHeight="1">
      <c r="A9" s="58" t="s">
        <v>815</v>
      </c>
      <c r="B9" s="59">
        <v>2564</v>
      </c>
      <c r="C9" s="59"/>
      <c r="D9" s="59">
        <f t="shared" si="0"/>
        <v>2564</v>
      </c>
      <c r="E9" s="59">
        <v>2564</v>
      </c>
      <c r="F9" s="59"/>
      <c r="G9" s="59">
        <f t="shared" si="1"/>
        <v>2564</v>
      </c>
      <c r="H9" s="59"/>
      <c r="I9" s="59"/>
      <c r="J9" s="59"/>
      <c r="K9" s="59"/>
      <c r="L9" s="59"/>
      <c r="M9" s="59"/>
      <c r="N9" s="59"/>
      <c r="O9" s="59"/>
      <c r="P9" s="59">
        <v>97</v>
      </c>
      <c r="Q9" s="59"/>
      <c r="R9" s="59"/>
      <c r="S9" s="59"/>
      <c r="T9" s="59"/>
      <c r="U9" s="59">
        <f>2284-71-12-6</f>
        <v>2195</v>
      </c>
      <c r="V9" s="59"/>
      <c r="W9" s="59">
        <v>100</v>
      </c>
      <c r="X9" s="59"/>
      <c r="Y9" s="59"/>
      <c r="Z9" s="59"/>
      <c r="AA9" s="59"/>
      <c r="AB9" s="59"/>
      <c r="AC9" s="59"/>
      <c r="AD9" s="59"/>
      <c r="AE9" s="59"/>
      <c r="AF9" s="59">
        <v>6</v>
      </c>
      <c r="AG9" s="59"/>
      <c r="AH9" s="59"/>
      <c r="AI9" s="59"/>
      <c r="AJ9" s="59"/>
      <c r="AK9" s="59"/>
      <c r="AL9" s="59">
        <v>30</v>
      </c>
      <c r="AM9" s="59">
        <f t="shared" si="2"/>
        <v>2428</v>
      </c>
      <c r="AN9" s="59">
        <f>136</f>
        <v>136</v>
      </c>
      <c r="AO9" s="59"/>
      <c r="AP9" s="72">
        <f t="shared" si="3"/>
        <v>2564</v>
      </c>
      <c r="AQ9" s="58" t="s">
        <v>814</v>
      </c>
    </row>
    <row r="10" spans="1:43" s="39" customFormat="1" ht="42" customHeight="1">
      <c r="A10" s="58" t="s">
        <v>816</v>
      </c>
      <c r="B10" s="59">
        <v>1222</v>
      </c>
      <c r="C10" s="59"/>
      <c r="D10" s="59">
        <f t="shared" si="0"/>
        <v>1222</v>
      </c>
      <c r="E10" s="59">
        <v>1222</v>
      </c>
      <c r="F10" s="59"/>
      <c r="G10" s="59">
        <f t="shared" si="1"/>
        <v>1222</v>
      </c>
      <c r="H10" s="59"/>
      <c r="I10" s="59"/>
      <c r="J10" s="59">
        <v>608</v>
      </c>
      <c r="K10" s="59">
        <v>614</v>
      </c>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f t="shared" si="2"/>
        <v>1222</v>
      </c>
      <c r="AN10" s="59"/>
      <c r="AO10" s="59"/>
      <c r="AP10" s="59">
        <f t="shared" si="3"/>
        <v>1222</v>
      </c>
      <c r="AQ10" s="58" t="s">
        <v>814</v>
      </c>
    </row>
    <row r="11" spans="1:43" s="39" customFormat="1" ht="42" customHeight="1">
      <c r="A11" s="58" t="s">
        <v>817</v>
      </c>
      <c r="B11" s="59"/>
      <c r="C11" s="59">
        <f>1258+726.56</f>
        <v>1984.56</v>
      </c>
      <c r="D11" s="59">
        <f t="shared" si="0"/>
        <v>1984.56</v>
      </c>
      <c r="E11" s="59"/>
      <c r="F11" s="59">
        <f>1258+727</f>
        <v>1985</v>
      </c>
      <c r="G11" s="59">
        <f t="shared" si="1"/>
        <v>1985</v>
      </c>
      <c r="H11" s="59"/>
      <c r="I11" s="59"/>
      <c r="J11" s="59">
        <v>40</v>
      </c>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f t="shared" si="2"/>
        <v>40</v>
      </c>
      <c r="AN11" s="59">
        <v>1945</v>
      </c>
      <c r="AO11" s="59"/>
      <c r="AP11" s="59">
        <f t="shared" si="3"/>
        <v>1985</v>
      </c>
      <c r="AQ11" s="58" t="s">
        <v>814</v>
      </c>
    </row>
    <row r="12" spans="1:43" s="39" customFormat="1" ht="42" customHeight="1">
      <c r="A12" s="58" t="s">
        <v>818</v>
      </c>
      <c r="B12" s="59"/>
      <c r="C12" s="59">
        <v>628</v>
      </c>
      <c r="D12" s="59">
        <f t="shared" si="0"/>
        <v>628</v>
      </c>
      <c r="E12" s="59"/>
      <c r="F12" s="59">
        <v>0</v>
      </c>
      <c r="G12" s="59">
        <f t="shared" si="1"/>
        <v>0</v>
      </c>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f t="shared" si="2"/>
        <v>0</v>
      </c>
      <c r="AN12" s="59"/>
      <c r="AO12" s="59"/>
      <c r="AP12" s="73">
        <f t="shared" si="3"/>
        <v>0</v>
      </c>
      <c r="AQ12" s="58" t="s">
        <v>814</v>
      </c>
    </row>
    <row r="13" spans="1:43" s="39" customFormat="1" ht="42" customHeight="1">
      <c r="A13" s="58" t="s">
        <v>819</v>
      </c>
      <c r="B13" s="59">
        <v>50</v>
      </c>
      <c r="C13" s="59"/>
      <c r="D13" s="59">
        <f t="shared" si="0"/>
        <v>50</v>
      </c>
      <c r="E13" s="59">
        <v>50</v>
      </c>
      <c r="F13" s="59"/>
      <c r="G13" s="59">
        <f t="shared" si="1"/>
        <v>50</v>
      </c>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f t="shared" si="2"/>
        <v>0</v>
      </c>
      <c r="AN13" s="59">
        <v>50</v>
      </c>
      <c r="AO13" s="59"/>
      <c r="AP13" s="59">
        <f t="shared" si="3"/>
        <v>50</v>
      </c>
      <c r="AQ13" s="58" t="s">
        <v>814</v>
      </c>
    </row>
    <row r="14" spans="1:43" s="39" customFormat="1" ht="42" customHeight="1">
      <c r="A14" s="58" t="s">
        <v>820</v>
      </c>
      <c r="B14" s="59">
        <v>1156</v>
      </c>
      <c r="C14" s="59"/>
      <c r="D14" s="59">
        <f t="shared" si="0"/>
        <v>1156</v>
      </c>
      <c r="E14" s="59">
        <v>1156</v>
      </c>
      <c r="F14" s="59"/>
      <c r="G14" s="59">
        <f t="shared" si="1"/>
        <v>1156</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f t="shared" si="2"/>
        <v>0</v>
      </c>
      <c r="AN14" s="59">
        <v>117</v>
      </c>
      <c r="AO14" s="59">
        <v>1039</v>
      </c>
      <c r="AP14" s="59">
        <f t="shared" si="3"/>
        <v>1156</v>
      </c>
      <c r="AQ14" s="58" t="s">
        <v>814</v>
      </c>
    </row>
    <row r="15" spans="1:43" s="39" customFormat="1" ht="42" customHeight="1">
      <c r="A15" s="58" t="s">
        <v>821</v>
      </c>
      <c r="B15" s="59"/>
      <c r="C15" s="59">
        <v>2991</v>
      </c>
      <c r="D15" s="59">
        <f t="shared" si="0"/>
        <v>2991</v>
      </c>
      <c r="E15" s="59"/>
      <c r="F15" s="59">
        <v>2991</v>
      </c>
      <c r="G15" s="59">
        <f t="shared" si="1"/>
        <v>2991</v>
      </c>
      <c r="H15" s="59"/>
      <c r="I15" s="59"/>
      <c r="J15" s="59"/>
      <c r="K15" s="59"/>
      <c r="L15" s="59"/>
      <c r="M15" s="59"/>
      <c r="N15" s="59"/>
      <c r="O15" s="59"/>
      <c r="P15" s="59"/>
      <c r="Q15" s="59"/>
      <c r="R15" s="59"/>
      <c r="S15" s="59">
        <v>728</v>
      </c>
      <c r="T15" s="59">
        <v>66</v>
      </c>
      <c r="U15" s="59">
        <f>1606-522-206-66-97-531</f>
        <v>184</v>
      </c>
      <c r="V15" s="59"/>
      <c r="W15" s="59"/>
      <c r="X15" s="59"/>
      <c r="Y15" s="59"/>
      <c r="Z15" s="59"/>
      <c r="AA15" s="59"/>
      <c r="AB15" s="59"/>
      <c r="AC15" s="59"/>
      <c r="AD15" s="59"/>
      <c r="AE15" s="59"/>
      <c r="AF15" s="59"/>
      <c r="AG15" s="59">
        <f>283+97</f>
        <v>380</v>
      </c>
      <c r="AH15" s="59"/>
      <c r="AI15" s="59">
        <v>301</v>
      </c>
      <c r="AJ15" s="59"/>
      <c r="AK15" s="59"/>
      <c r="AL15" s="59"/>
      <c r="AM15" s="59">
        <f t="shared" si="2"/>
        <v>1659</v>
      </c>
      <c r="AN15" s="59">
        <f>801+531</f>
        <v>1332</v>
      </c>
      <c r="AO15" s="59"/>
      <c r="AP15" s="59">
        <f t="shared" si="3"/>
        <v>2991</v>
      </c>
      <c r="AQ15" s="58" t="s">
        <v>814</v>
      </c>
    </row>
    <row r="16" spans="1:43" s="39" customFormat="1" ht="42" customHeight="1">
      <c r="A16" s="58" t="s">
        <v>822</v>
      </c>
      <c r="B16" s="59">
        <v>1996</v>
      </c>
      <c r="C16" s="59"/>
      <c r="D16" s="59">
        <f t="shared" si="0"/>
        <v>1996</v>
      </c>
      <c r="E16" s="59">
        <v>1996</v>
      </c>
      <c r="F16" s="59"/>
      <c r="G16" s="59">
        <f t="shared" si="1"/>
        <v>1996</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f t="shared" si="2"/>
        <v>0</v>
      </c>
      <c r="AN16" s="59">
        <v>1996</v>
      </c>
      <c r="AO16" s="59"/>
      <c r="AP16" s="59">
        <f t="shared" si="3"/>
        <v>1996</v>
      </c>
      <c r="AQ16" s="58" t="s">
        <v>814</v>
      </c>
    </row>
    <row r="17" spans="1:43" s="39" customFormat="1" ht="42" customHeight="1">
      <c r="A17" s="58" t="s">
        <v>823</v>
      </c>
      <c r="B17" s="59">
        <v>500</v>
      </c>
      <c r="C17" s="59">
        <v>760</v>
      </c>
      <c r="D17" s="59">
        <f t="shared" si="0"/>
        <v>1260</v>
      </c>
      <c r="E17" s="59">
        <v>500</v>
      </c>
      <c r="F17" s="59">
        <v>760</v>
      </c>
      <c r="G17" s="59">
        <f t="shared" si="1"/>
        <v>1260</v>
      </c>
      <c r="H17" s="59">
        <v>610</v>
      </c>
      <c r="I17" s="59"/>
      <c r="J17" s="59">
        <v>499</v>
      </c>
      <c r="K17" s="59">
        <v>151</v>
      </c>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f t="shared" si="2"/>
        <v>1260</v>
      </c>
      <c r="AN17" s="59"/>
      <c r="AO17" s="59"/>
      <c r="AP17" s="59">
        <f t="shared" si="3"/>
        <v>1260</v>
      </c>
      <c r="AQ17" s="58" t="s">
        <v>814</v>
      </c>
    </row>
    <row r="18" spans="1:43" s="39" customFormat="1" ht="42" customHeight="1">
      <c r="A18" s="58" t="s">
        <v>824</v>
      </c>
      <c r="B18" s="59"/>
      <c r="C18" s="59"/>
      <c r="D18" s="59">
        <f t="shared" si="0"/>
        <v>0</v>
      </c>
      <c r="E18" s="59"/>
      <c r="F18" s="59"/>
      <c r="G18" s="59">
        <f t="shared" si="1"/>
        <v>0</v>
      </c>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f t="shared" si="2"/>
        <v>0</v>
      </c>
      <c r="AN18" s="59"/>
      <c r="AO18" s="59"/>
      <c r="AP18" s="59">
        <f t="shared" si="3"/>
        <v>0</v>
      </c>
      <c r="AQ18" s="58" t="s">
        <v>814</v>
      </c>
    </row>
    <row r="19" spans="1:43" s="39" customFormat="1" ht="42" customHeight="1">
      <c r="A19" s="58" t="s">
        <v>825</v>
      </c>
      <c r="B19" s="59">
        <v>2213</v>
      </c>
      <c r="C19" s="59"/>
      <c r="D19" s="59">
        <f t="shared" si="0"/>
        <v>2213</v>
      </c>
      <c r="E19" s="59">
        <v>2759</v>
      </c>
      <c r="F19" s="59"/>
      <c r="G19" s="59">
        <f t="shared" si="1"/>
        <v>2759</v>
      </c>
      <c r="H19" s="59"/>
      <c r="I19" s="59">
        <v>15</v>
      </c>
      <c r="J19" s="59"/>
      <c r="K19" s="59"/>
      <c r="L19" s="59">
        <v>159</v>
      </c>
      <c r="M19" s="59">
        <v>50</v>
      </c>
      <c r="N19" s="59">
        <v>160</v>
      </c>
      <c r="O19" s="59">
        <v>150</v>
      </c>
      <c r="P19" s="59"/>
      <c r="Q19" s="59">
        <v>11</v>
      </c>
      <c r="R19" s="59">
        <v>232</v>
      </c>
      <c r="S19" s="59"/>
      <c r="T19" s="59"/>
      <c r="U19" s="59">
        <v>232</v>
      </c>
      <c r="V19" s="59"/>
      <c r="W19" s="59"/>
      <c r="X19" s="59"/>
      <c r="Y19" s="59"/>
      <c r="Z19" s="59"/>
      <c r="AA19" s="59"/>
      <c r="AB19" s="59"/>
      <c r="AC19" s="59"/>
      <c r="AD19" s="59"/>
      <c r="AE19" s="59"/>
      <c r="AF19" s="59"/>
      <c r="AG19" s="59"/>
      <c r="AH19" s="59"/>
      <c r="AI19" s="59"/>
      <c r="AJ19" s="59"/>
      <c r="AK19" s="59"/>
      <c r="AL19" s="59"/>
      <c r="AM19" s="59">
        <f t="shared" si="2"/>
        <v>1009</v>
      </c>
      <c r="AN19" s="59">
        <f>1198+552</f>
        <v>1750</v>
      </c>
      <c r="AO19" s="59"/>
      <c r="AP19" s="59">
        <f t="shared" si="3"/>
        <v>2759</v>
      </c>
      <c r="AQ19" s="58" t="s">
        <v>826</v>
      </c>
    </row>
    <row r="20" spans="1:43" s="39" customFormat="1" ht="42" customHeight="1">
      <c r="A20" s="58" t="s">
        <v>827</v>
      </c>
      <c r="B20" s="59">
        <v>1558</v>
      </c>
      <c r="C20" s="59"/>
      <c r="D20" s="59">
        <f t="shared" si="0"/>
        <v>1558</v>
      </c>
      <c r="E20" s="59">
        <v>1558</v>
      </c>
      <c r="F20" s="59"/>
      <c r="G20" s="59">
        <f t="shared" si="1"/>
        <v>1558</v>
      </c>
      <c r="H20" s="59"/>
      <c r="I20" s="59"/>
      <c r="J20" s="59"/>
      <c r="K20" s="59"/>
      <c r="L20" s="59">
        <v>278</v>
      </c>
      <c r="M20" s="59"/>
      <c r="N20" s="59"/>
      <c r="O20" s="59"/>
      <c r="P20" s="59">
        <v>59</v>
      </c>
      <c r="Q20" s="59"/>
      <c r="R20" s="59"/>
      <c r="S20" s="59"/>
      <c r="T20" s="59"/>
      <c r="U20" s="59">
        <v>326</v>
      </c>
      <c r="V20" s="59"/>
      <c r="W20" s="59"/>
      <c r="X20" s="59"/>
      <c r="Y20" s="59"/>
      <c r="Z20" s="59"/>
      <c r="AA20" s="59"/>
      <c r="AB20" s="59"/>
      <c r="AC20" s="59"/>
      <c r="AD20" s="59"/>
      <c r="AE20" s="59"/>
      <c r="AF20" s="59"/>
      <c r="AG20" s="59"/>
      <c r="AH20" s="59"/>
      <c r="AI20" s="59"/>
      <c r="AJ20" s="69">
        <v>354</v>
      </c>
      <c r="AK20" s="59"/>
      <c r="AL20" s="59"/>
      <c r="AM20" s="59">
        <f t="shared" si="2"/>
        <v>1017</v>
      </c>
      <c r="AN20" s="59"/>
      <c r="AO20" s="59">
        <v>541</v>
      </c>
      <c r="AP20" s="59">
        <f t="shared" si="3"/>
        <v>1558</v>
      </c>
      <c r="AQ20" s="58" t="s">
        <v>826</v>
      </c>
    </row>
    <row r="21" spans="1:43" s="39" customFormat="1" ht="84.75" customHeight="1">
      <c r="A21" s="58" t="s">
        <v>828</v>
      </c>
      <c r="B21" s="59">
        <v>0</v>
      </c>
      <c r="C21" s="59"/>
      <c r="D21" s="59">
        <f t="shared" si="0"/>
        <v>0</v>
      </c>
      <c r="E21" s="59"/>
      <c r="F21" s="59">
        <v>826</v>
      </c>
      <c r="G21" s="59">
        <f t="shared" si="1"/>
        <v>826</v>
      </c>
      <c r="H21" s="59"/>
      <c r="I21" s="59"/>
      <c r="J21" s="59"/>
      <c r="K21" s="59">
        <v>326</v>
      </c>
      <c r="L21" s="59"/>
      <c r="M21" s="59"/>
      <c r="N21" s="59"/>
      <c r="O21" s="59"/>
      <c r="P21" s="59"/>
      <c r="Q21" s="59"/>
      <c r="R21" s="59"/>
      <c r="S21" s="59">
        <v>102</v>
      </c>
      <c r="T21" s="59">
        <v>37</v>
      </c>
      <c r="U21" s="59"/>
      <c r="V21" s="59"/>
      <c r="W21" s="59"/>
      <c r="X21" s="59"/>
      <c r="Y21" s="59"/>
      <c r="Z21" s="59"/>
      <c r="AA21" s="59"/>
      <c r="AB21" s="59"/>
      <c r="AC21" s="59"/>
      <c r="AD21" s="59"/>
      <c r="AE21" s="59"/>
      <c r="AF21" s="59"/>
      <c r="AG21" s="59"/>
      <c r="AH21" s="59"/>
      <c r="AI21" s="59">
        <v>133</v>
      </c>
      <c r="AJ21" s="59"/>
      <c r="AK21" s="59"/>
      <c r="AL21" s="59"/>
      <c r="AM21" s="59">
        <f t="shared" si="2"/>
        <v>598</v>
      </c>
      <c r="AN21" s="59">
        <v>228</v>
      </c>
      <c r="AO21" s="59"/>
      <c r="AP21" s="59">
        <f t="shared" si="3"/>
        <v>826</v>
      </c>
      <c r="AQ21" s="58"/>
    </row>
    <row r="22" spans="1:43" s="39" customFormat="1" ht="35.25" customHeight="1">
      <c r="A22" s="60" t="s">
        <v>74</v>
      </c>
      <c r="B22" s="61">
        <f>SUM(B8:B20)</f>
        <v>11784</v>
      </c>
      <c r="C22" s="61">
        <f>SUM(C8:C20)</f>
        <v>6363.5599999999995</v>
      </c>
      <c r="D22" s="62">
        <f t="shared" si="0"/>
        <v>18147.559999999998</v>
      </c>
      <c r="E22" s="62">
        <f>SUM(E8:E21)</f>
        <v>12330</v>
      </c>
      <c r="F22" s="62">
        <f>SUM(F8:F21)</f>
        <v>6562</v>
      </c>
      <c r="G22" s="62">
        <f>SUM(G8:G21)</f>
        <v>18892</v>
      </c>
      <c r="H22" s="62">
        <f aca="true" t="shared" si="4" ref="H22:AP22">SUM(H8:H21)</f>
        <v>610</v>
      </c>
      <c r="I22" s="62">
        <f t="shared" si="4"/>
        <v>15</v>
      </c>
      <c r="J22" s="62">
        <f t="shared" si="4"/>
        <v>1147</v>
      </c>
      <c r="K22" s="62">
        <f t="shared" si="4"/>
        <v>1091</v>
      </c>
      <c r="L22" s="62">
        <f t="shared" si="4"/>
        <v>437</v>
      </c>
      <c r="M22" s="62">
        <f t="shared" si="4"/>
        <v>50</v>
      </c>
      <c r="N22" s="62">
        <f t="shared" si="4"/>
        <v>160</v>
      </c>
      <c r="O22" s="62">
        <f t="shared" si="4"/>
        <v>150</v>
      </c>
      <c r="P22" s="62">
        <f t="shared" si="4"/>
        <v>156</v>
      </c>
      <c r="Q22" s="62">
        <f t="shared" si="4"/>
        <v>11</v>
      </c>
      <c r="R22" s="62">
        <f t="shared" si="4"/>
        <v>232</v>
      </c>
      <c r="S22" s="62">
        <f t="shared" si="4"/>
        <v>830</v>
      </c>
      <c r="T22" s="62">
        <f t="shared" si="4"/>
        <v>103</v>
      </c>
      <c r="U22" s="62">
        <f t="shared" si="4"/>
        <v>2937</v>
      </c>
      <c r="V22" s="62">
        <f t="shared" si="4"/>
        <v>20</v>
      </c>
      <c r="W22" s="62">
        <f t="shared" si="4"/>
        <v>272</v>
      </c>
      <c r="X22" s="62">
        <f t="shared" si="4"/>
        <v>0</v>
      </c>
      <c r="Y22" s="62">
        <f t="shared" si="4"/>
        <v>0</v>
      </c>
      <c r="Z22" s="62">
        <f t="shared" si="4"/>
        <v>43</v>
      </c>
      <c r="AA22" s="62">
        <f t="shared" si="4"/>
        <v>24</v>
      </c>
      <c r="AB22" s="62">
        <f t="shared" si="4"/>
        <v>22</v>
      </c>
      <c r="AC22" s="62">
        <f t="shared" si="4"/>
        <v>0</v>
      </c>
      <c r="AD22" s="62">
        <f t="shared" si="4"/>
        <v>0</v>
      </c>
      <c r="AE22" s="62">
        <f t="shared" si="4"/>
        <v>38</v>
      </c>
      <c r="AF22" s="62">
        <f t="shared" si="4"/>
        <v>102</v>
      </c>
      <c r="AG22" s="62">
        <f t="shared" si="4"/>
        <v>380</v>
      </c>
      <c r="AH22" s="62">
        <f t="shared" si="4"/>
        <v>110</v>
      </c>
      <c r="AI22" s="62">
        <f t="shared" si="4"/>
        <v>434</v>
      </c>
      <c r="AJ22" s="62">
        <f t="shared" si="4"/>
        <v>354</v>
      </c>
      <c r="AK22" s="62">
        <f t="shared" si="4"/>
        <v>0</v>
      </c>
      <c r="AL22" s="62">
        <f t="shared" si="4"/>
        <v>30</v>
      </c>
      <c r="AM22" s="62">
        <f t="shared" si="4"/>
        <v>9758</v>
      </c>
      <c r="AN22" s="62">
        <f t="shared" si="4"/>
        <v>7554</v>
      </c>
      <c r="AO22" s="62">
        <f t="shared" si="4"/>
        <v>1580</v>
      </c>
      <c r="AP22" s="62">
        <f t="shared" si="4"/>
        <v>18892</v>
      </c>
      <c r="AQ22" s="74">
        <f>SUM(AQ8:AQ20)</f>
        <v>0</v>
      </c>
    </row>
    <row r="23" spans="1:43" s="40" customFormat="1" ht="30" customHeight="1" hidden="1">
      <c r="A23" s="63" t="s">
        <v>829</v>
      </c>
      <c r="B23" s="64"/>
      <c r="C23" s="64"/>
      <c r="D23" s="64"/>
      <c r="E23" s="64"/>
      <c r="F23" s="64"/>
      <c r="G23" s="64"/>
      <c r="H23" s="64">
        <v>350</v>
      </c>
      <c r="I23" s="64">
        <v>5</v>
      </c>
      <c r="J23" s="64">
        <v>650</v>
      </c>
      <c r="K23" s="64">
        <v>800</v>
      </c>
      <c r="L23" s="64">
        <v>250</v>
      </c>
      <c r="M23" s="64">
        <v>42</v>
      </c>
      <c r="N23" s="64">
        <v>327</v>
      </c>
      <c r="O23" s="64">
        <v>269.45799999999997</v>
      </c>
      <c r="P23" s="64">
        <v>155</v>
      </c>
      <c r="Q23" s="64">
        <v>33</v>
      </c>
      <c r="R23" s="64">
        <v>60</v>
      </c>
      <c r="S23" s="67">
        <v>1225.43</v>
      </c>
      <c r="T23" s="67">
        <v>254.44</v>
      </c>
      <c r="U23" s="67">
        <v>2875.53</v>
      </c>
      <c r="V23" s="64">
        <v>28</v>
      </c>
      <c r="W23" s="64">
        <v>210.9</v>
      </c>
      <c r="X23" s="64">
        <v>45</v>
      </c>
      <c r="Y23" s="68">
        <v>27.8</v>
      </c>
      <c r="Z23" s="68">
        <v>37.01</v>
      </c>
      <c r="AA23" s="68">
        <v>24</v>
      </c>
      <c r="AB23" s="68">
        <v>40</v>
      </c>
      <c r="AC23" s="68"/>
      <c r="AD23" s="64">
        <v>900</v>
      </c>
      <c r="AE23" s="64">
        <v>35</v>
      </c>
      <c r="AF23" s="64">
        <v>107.64</v>
      </c>
      <c r="AG23" s="64">
        <v>115</v>
      </c>
      <c r="AH23" s="64">
        <v>100</v>
      </c>
      <c r="AI23" s="64">
        <v>150</v>
      </c>
      <c r="AJ23" s="64"/>
      <c r="AK23" s="64"/>
      <c r="AL23" s="64">
        <v>20</v>
      </c>
      <c r="AM23" s="64"/>
      <c r="AN23" s="64"/>
      <c r="AO23" s="64"/>
      <c r="AP23" s="64"/>
      <c r="AQ23" s="63"/>
    </row>
    <row r="24" ht="12">
      <c r="A24" s="41" t="s">
        <v>830</v>
      </c>
    </row>
    <row r="25" ht="12">
      <c r="A25" s="65" t="s">
        <v>831</v>
      </c>
    </row>
    <row r="26" ht="12">
      <c r="A26" s="41" t="s">
        <v>832</v>
      </c>
    </row>
  </sheetData>
  <sheetProtection/>
  <mergeCells count="11">
    <mergeCell ref="A2:AQ2"/>
    <mergeCell ref="B5:G5"/>
    <mergeCell ref="H5:AP5"/>
    <mergeCell ref="B6:D6"/>
    <mergeCell ref="E6:G6"/>
    <mergeCell ref="H6:AM6"/>
    <mergeCell ref="A5:A7"/>
    <mergeCell ref="AN6:AN7"/>
    <mergeCell ref="AO6:AO7"/>
    <mergeCell ref="AP6:AP7"/>
    <mergeCell ref="AQ5:AQ7"/>
  </mergeCells>
  <printOptions horizontalCentered="1"/>
  <pageMargins left="0" right="0" top="0.77" bottom="0.98" header="0.57" footer="0.51"/>
  <pageSetup fitToHeight="1" fitToWidth="1" horizontalDpi="600" verticalDpi="600" orientation="landscape" paperSize="9" scale="46"/>
  <headerFooter alignWithMargins="0">
    <oddFooter>&amp;C第 &amp;P 页，共 &amp;N 页</oddFooter>
  </headerFooter>
  <legacyDrawing r:id="rId2"/>
</worksheet>
</file>

<file path=xl/worksheets/sheet6.xml><?xml version="1.0" encoding="utf-8"?>
<worksheet xmlns="http://schemas.openxmlformats.org/spreadsheetml/2006/main" xmlns:r="http://schemas.openxmlformats.org/officeDocument/2006/relationships">
  <dimension ref="A1:N18"/>
  <sheetViews>
    <sheetView zoomScaleSheetLayoutView="100" workbookViewId="0" topLeftCell="A1">
      <selection activeCell="D8" sqref="D8"/>
    </sheetView>
  </sheetViews>
  <sheetFormatPr defaultColWidth="9.00390625" defaultRowHeight="14.25"/>
  <cols>
    <col min="1" max="1" width="9.00390625" style="1" customWidth="1"/>
    <col min="2" max="2" width="15.50390625" style="1" customWidth="1"/>
    <col min="3" max="3" width="25.25390625" style="1" customWidth="1"/>
    <col min="4" max="6" width="9.00390625" style="1" customWidth="1"/>
    <col min="7" max="7" width="14.75390625" style="1" customWidth="1"/>
    <col min="8" max="8" width="22.00390625" style="1" customWidth="1"/>
    <col min="9" max="16384" width="9.00390625" style="1" customWidth="1"/>
  </cols>
  <sheetData>
    <row r="1" ht="24.75" customHeight="1">
      <c r="A1" s="1" t="s">
        <v>833</v>
      </c>
    </row>
    <row r="2" spans="1:10" ht="25.5">
      <c r="A2" s="2" t="s">
        <v>834</v>
      </c>
      <c r="B2" s="2"/>
      <c r="C2" s="2"/>
      <c r="D2" s="2"/>
      <c r="E2" s="2"/>
      <c r="F2" s="2"/>
      <c r="G2" s="2"/>
      <c r="H2" s="2"/>
      <c r="I2" s="2"/>
      <c r="J2" s="2"/>
    </row>
    <row r="3" spans="1:10" ht="21" customHeight="1">
      <c r="A3" s="2"/>
      <c r="B3" s="2"/>
      <c r="C3" s="2"/>
      <c r="D3" s="2"/>
      <c r="E3" s="2"/>
      <c r="F3" s="2"/>
      <c r="G3" s="2"/>
      <c r="H3" s="3"/>
      <c r="I3" s="34" t="s">
        <v>7</v>
      </c>
      <c r="J3" s="2"/>
    </row>
    <row r="4" ht="14.25"/>
    <row r="5" spans="1:10" ht="30" customHeight="1">
      <c r="A5" s="4" t="s">
        <v>835</v>
      </c>
      <c r="B5" s="5"/>
      <c r="C5" s="5"/>
      <c r="D5" s="6"/>
      <c r="E5" s="7" t="s">
        <v>836</v>
      </c>
      <c r="F5" s="8"/>
      <c r="G5" s="8"/>
      <c r="H5" s="8"/>
      <c r="I5" s="8"/>
      <c r="J5" s="35"/>
    </row>
    <row r="6" spans="1:10" ht="30" customHeight="1">
      <c r="A6" s="9" t="s">
        <v>837</v>
      </c>
      <c r="B6" s="10" t="s">
        <v>550</v>
      </c>
      <c r="C6" s="10" t="s">
        <v>8</v>
      </c>
      <c r="D6" s="11" t="s">
        <v>551</v>
      </c>
      <c r="E6" s="12" t="s">
        <v>838</v>
      </c>
      <c r="F6" s="10" t="s">
        <v>837</v>
      </c>
      <c r="G6" s="10" t="s">
        <v>550</v>
      </c>
      <c r="H6" s="10" t="s">
        <v>8</v>
      </c>
      <c r="I6" s="10" t="s">
        <v>839</v>
      </c>
      <c r="J6" s="36" t="s">
        <v>840</v>
      </c>
    </row>
    <row r="7" spans="1:10" ht="30" customHeight="1">
      <c r="A7" s="13" t="s">
        <v>574</v>
      </c>
      <c r="B7" s="14" t="s">
        <v>841</v>
      </c>
      <c r="C7" s="15" t="s">
        <v>842</v>
      </c>
      <c r="D7" s="16">
        <f>1000-300</f>
        <v>700</v>
      </c>
      <c r="E7" s="17" t="s">
        <v>843</v>
      </c>
      <c r="F7" s="18" t="s">
        <v>574</v>
      </c>
      <c r="G7" s="14" t="s">
        <v>841</v>
      </c>
      <c r="H7" s="19" t="s">
        <v>842</v>
      </c>
      <c r="I7" s="37">
        <f>1000-300</f>
        <v>700</v>
      </c>
      <c r="J7" s="11"/>
    </row>
    <row r="8" spans="1:14" ht="30" customHeight="1">
      <c r="A8" s="13" t="s">
        <v>574</v>
      </c>
      <c r="B8" s="14" t="s">
        <v>844</v>
      </c>
      <c r="C8" s="15" t="s">
        <v>845</v>
      </c>
      <c r="D8" s="16">
        <v>400</v>
      </c>
      <c r="E8" s="17"/>
      <c r="F8" s="18" t="s">
        <v>574</v>
      </c>
      <c r="G8" s="20" t="s">
        <v>846</v>
      </c>
      <c r="H8" s="15" t="s">
        <v>847</v>
      </c>
      <c r="I8" s="10">
        <v>400</v>
      </c>
      <c r="J8" s="11"/>
      <c r="M8" s="38"/>
      <c r="N8" s="34"/>
    </row>
    <row r="9" spans="1:10" ht="30" customHeight="1">
      <c r="A9" s="13" t="s">
        <v>574</v>
      </c>
      <c r="B9" s="14" t="s">
        <v>848</v>
      </c>
      <c r="C9" s="15" t="s">
        <v>845</v>
      </c>
      <c r="D9" s="16">
        <v>200</v>
      </c>
      <c r="E9" s="17"/>
      <c r="F9" s="18" t="s">
        <v>574</v>
      </c>
      <c r="G9" s="21"/>
      <c r="H9" s="19" t="s">
        <v>849</v>
      </c>
      <c r="I9" s="10">
        <v>60</v>
      </c>
      <c r="J9" s="11"/>
    </row>
    <row r="10" spans="1:10" ht="30" customHeight="1">
      <c r="A10" s="13" t="s">
        <v>574</v>
      </c>
      <c r="B10" s="14" t="s">
        <v>850</v>
      </c>
      <c r="C10" s="15" t="s">
        <v>851</v>
      </c>
      <c r="D10" s="16">
        <v>250</v>
      </c>
      <c r="E10" s="22" t="s">
        <v>852</v>
      </c>
      <c r="F10" s="18" t="s">
        <v>574</v>
      </c>
      <c r="G10" s="23" t="s">
        <v>853</v>
      </c>
      <c r="H10" s="24" t="s">
        <v>854</v>
      </c>
      <c r="I10" s="10"/>
      <c r="J10" s="11">
        <v>3.44</v>
      </c>
    </row>
    <row r="11" spans="1:10" ht="30" customHeight="1">
      <c r="A11" s="13" t="s">
        <v>574</v>
      </c>
      <c r="B11" s="14" t="s">
        <v>855</v>
      </c>
      <c r="C11" s="15" t="s">
        <v>856</v>
      </c>
      <c r="D11" s="16">
        <v>240</v>
      </c>
      <c r="E11" s="25"/>
      <c r="F11" s="18" t="s">
        <v>574</v>
      </c>
      <c r="G11" s="23" t="s">
        <v>846</v>
      </c>
      <c r="H11" s="24" t="s">
        <v>857</v>
      </c>
      <c r="I11" s="10"/>
      <c r="J11" s="11">
        <v>100</v>
      </c>
    </row>
    <row r="12" spans="1:10" ht="30" customHeight="1">
      <c r="A12" s="13" t="s">
        <v>574</v>
      </c>
      <c r="B12" s="14" t="s">
        <v>846</v>
      </c>
      <c r="C12" s="15" t="s">
        <v>847</v>
      </c>
      <c r="D12" s="16">
        <v>400</v>
      </c>
      <c r="E12" s="25"/>
      <c r="F12" s="18" t="s">
        <v>574</v>
      </c>
      <c r="G12" s="23" t="s">
        <v>858</v>
      </c>
      <c r="H12" s="24" t="s">
        <v>859</v>
      </c>
      <c r="I12" s="10"/>
      <c r="J12" s="11">
        <v>66.07</v>
      </c>
    </row>
    <row r="13" spans="1:10" ht="30" customHeight="1">
      <c r="A13" s="13" t="s">
        <v>574</v>
      </c>
      <c r="B13" s="14"/>
      <c r="C13" s="15" t="s">
        <v>860</v>
      </c>
      <c r="D13" s="16">
        <v>150</v>
      </c>
      <c r="E13" s="25"/>
      <c r="F13" s="18" t="s">
        <v>574</v>
      </c>
      <c r="G13" s="23" t="s">
        <v>674</v>
      </c>
      <c r="H13" s="24" t="s">
        <v>861</v>
      </c>
      <c r="I13" s="10"/>
      <c r="J13" s="11">
        <v>90</v>
      </c>
    </row>
    <row r="14" spans="1:10" ht="30" customHeight="1">
      <c r="A14" s="13" t="s">
        <v>574</v>
      </c>
      <c r="B14" s="14"/>
      <c r="C14" s="15" t="s">
        <v>849</v>
      </c>
      <c r="D14" s="16">
        <v>60</v>
      </c>
      <c r="E14" s="25"/>
      <c r="F14" s="18" t="s">
        <v>574</v>
      </c>
      <c r="G14" s="24" t="s">
        <v>862</v>
      </c>
      <c r="H14" s="24" t="s">
        <v>863</v>
      </c>
      <c r="I14" s="10"/>
      <c r="J14" s="11">
        <v>100</v>
      </c>
    </row>
    <row r="15" spans="1:10" ht="30" customHeight="1">
      <c r="A15" s="13" t="s">
        <v>574</v>
      </c>
      <c r="B15" s="14" t="s">
        <v>853</v>
      </c>
      <c r="C15" s="15" t="s">
        <v>854</v>
      </c>
      <c r="D15" s="16">
        <v>100</v>
      </c>
      <c r="E15" s="25"/>
      <c r="F15" s="18" t="s">
        <v>574</v>
      </c>
      <c r="G15" s="24" t="s">
        <v>864</v>
      </c>
      <c r="H15" s="24" t="s">
        <v>865</v>
      </c>
      <c r="I15" s="10"/>
      <c r="J15" s="11">
        <v>50</v>
      </c>
    </row>
    <row r="16" spans="1:10" ht="30" customHeight="1">
      <c r="A16" s="13" t="s">
        <v>574</v>
      </c>
      <c r="B16" s="14"/>
      <c r="C16" s="15" t="s">
        <v>866</v>
      </c>
      <c r="D16" s="16">
        <v>80</v>
      </c>
      <c r="E16" s="25"/>
      <c r="F16" s="18" t="s">
        <v>574</v>
      </c>
      <c r="G16" s="23" t="s">
        <v>867</v>
      </c>
      <c r="H16" s="24" t="s">
        <v>868</v>
      </c>
      <c r="I16" s="10"/>
      <c r="J16" s="11">
        <v>50</v>
      </c>
    </row>
    <row r="17" spans="1:10" ht="37.5" customHeight="1">
      <c r="A17" s="13" t="s">
        <v>574</v>
      </c>
      <c r="B17" s="14" t="s">
        <v>869</v>
      </c>
      <c r="C17" s="15" t="s">
        <v>870</v>
      </c>
      <c r="D17" s="16">
        <v>600</v>
      </c>
      <c r="E17" s="26"/>
      <c r="F17" s="18" t="s">
        <v>574</v>
      </c>
      <c r="G17" s="27" t="s">
        <v>871</v>
      </c>
      <c r="H17" s="24" t="s">
        <v>872</v>
      </c>
      <c r="I17" s="37"/>
      <c r="J17" s="11">
        <v>700.49</v>
      </c>
    </row>
    <row r="18" spans="1:10" ht="30" customHeight="1">
      <c r="A18" s="28" t="s">
        <v>74</v>
      </c>
      <c r="B18" s="29"/>
      <c r="C18" s="29"/>
      <c r="D18" s="30">
        <f>SUM(D7:D17)</f>
        <v>3180</v>
      </c>
      <c r="E18" s="31" t="s">
        <v>74</v>
      </c>
      <c r="F18" s="32"/>
      <c r="G18" s="32"/>
      <c r="H18" s="33"/>
      <c r="I18" s="29">
        <f>SUM(I7:I17)</f>
        <v>1160</v>
      </c>
      <c r="J18" s="30">
        <f>SUM(J7:J17)</f>
        <v>1160</v>
      </c>
    </row>
  </sheetData>
  <sheetProtection/>
  <mergeCells count="10">
    <mergeCell ref="A2:J2"/>
    <mergeCell ref="A5:D5"/>
    <mergeCell ref="E5:J5"/>
    <mergeCell ref="A18:C18"/>
    <mergeCell ref="E18:H18"/>
    <mergeCell ref="B12:B14"/>
    <mergeCell ref="B15:B16"/>
    <mergeCell ref="E7:E9"/>
    <mergeCell ref="E10:E17"/>
    <mergeCell ref="G8:G9"/>
  </mergeCells>
  <printOptions/>
  <pageMargins left="0.75" right="0.75" top="0.61" bottom="1" header="0.51" footer="0.51"/>
  <pageSetup horizontalDpi="600" verticalDpi="600" orientation="landscape" paperSize="9" scale="8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大云朵</cp:lastModifiedBy>
  <cp:lastPrinted>2018-08-26T12:40:05Z</cp:lastPrinted>
  <dcterms:created xsi:type="dcterms:W3CDTF">1996-12-17T01:32:42Z</dcterms:created>
  <dcterms:modified xsi:type="dcterms:W3CDTF">2023-12-15T08:07:48Z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52784F4984FF4F988F15658522CD67D3_12</vt:lpwstr>
  </property>
</Properties>
</file>